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tephenpoland/Desktop/Convertible Debt Cap Table/"/>
    </mc:Choice>
  </mc:AlternateContent>
  <xr:revisionPtr revIDLastSave="0" documentId="13_ncr:1_{27BE3816-83D6-534C-9573-5A8E1D9D56A3}" xr6:coauthVersionLast="47" xr6:coauthVersionMax="47" xr10:uidLastSave="{00000000-0000-0000-0000-000000000000}"/>
  <bookViews>
    <workbookView xWindow="1240" yWindow="740" windowWidth="27800" windowHeight="17540" tabRatio="706" xr2:uid="{00000000-000D-0000-FFFF-FFFF00000000}"/>
  </bookViews>
  <sheets>
    <sheet name="Full Cap Table Convert Debt" sheetId="4" r:id="rId1"/>
    <sheet name="A. Fixed Pre-Money method" sheetId="1" r:id="rId2"/>
    <sheet name="B. Percentage Ownership Method" sheetId="2" r:id="rId3"/>
    <sheet name="C. Dollars Invested Method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2" l="1"/>
  <c r="D29" i="2" s="1"/>
  <c r="D31" i="4"/>
  <c r="E29" i="4" s="1"/>
  <c r="C6" i="2"/>
  <c r="G20" i="2" s="1"/>
  <c r="C8" i="2"/>
  <c r="D20" i="2" s="1"/>
  <c r="E20" i="2" s="1"/>
  <c r="F20" i="2" s="1"/>
  <c r="G21" i="2"/>
  <c r="C9" i="2"/>
  <c r="C9" i="3"/>
  <c r="C8" i="3"/>
  <c r="D20" i="3" s="1"/>
  <c r="E20" i="3" s="1"/>
  <c r="F20" i="3" s="1"/>
  <c r="C11" i="1"/>
  <c r="D27" i="1" s="1"/>
  <c r="C12" i="1"/>
  <c r="C13" i="1" s="1"/>
  <c r="C14" i="1" s="1"/>
  <c r="C5" i="1"/>
  <c r="D26" i="1"/>
  <c r="C13" i="2"/>
  <c r="D26" i="2" s="1"/>
  <c r="C8" i="1"/>
  <c r="F23" i="4"/>
  <c r="J19" i="4"/>
  <c r="J20" i="4"/>
  <c r="J29" i="4"/>
  <c r="C6" i="3"/>
  <c r="G20" i="3" s="1"/>
  <c r="G20" i="1"/>
  <c r="G19" i="1"/>
  <c r="C7" i="2"/>
  <c r="D28" i="2"/>
  <c r="C12" i="3"/>
  <c r="D28" i="3" s="1"/>
  <c r="C13" i="3"/>
  <c r="C14" i="3" s="1"/>
  <c r="C15" i="3" s="1"/>
  <c r="C7" i="3"/>
  <c r="C7" i="1"/>
  <c r="C6" i="1"/>
  <c r="K14" i="4"/>
  <c r="E28" i="3"/>
  <c r="E29" i="2"/>
  <c r="C14" i="2" l="1"/>
  <c r="C15" i="2" s="1"/>
  <c r="H29" i="2" s="1"/>
  <c r="H20" i="2"/>
  <c r="H20" i="3"/>
  <c r="F28" i="3"/>
  <c r="F29" i="2"/>
  <c r="D30" i="2"/>
  <c r="E20" i="4"/>
  <c r="K15" i="4"/>
  <c r="D27" i="3"/>
  <c r="E19" i="4"/>
  <c r="G21" i="3"/>
  <c r="C16" i="3"/>
  <c r="C21" i="3" s="1"/>
  <c r="C15" i="1"/>
  <c r="C19" i="1" s="1"/>
  <c r="D25" i="1"/>
  <c r="D28" i="1" s="1"/>
  <c r="C16" i="2"/>
  <c r="F27" i="2" s="1"/>
  <c r="D26" i="3"/>
  <c r="C21" i="2" l="1"/>
  <c r="E31" i="4"/>
  <c r="E21" i="3"/>
  <c r="F21" i="3"/>
  <c r="F22" i="3" s="1"/>
  <c r="E27" i="3" s="1"/>
  <c r="E21" i="2"/>
  <c r="F21" i="2"/>
  <c r="D29" i="3"/>
  <c r="H28" i="3" s="1"/>
  <c r="F27" i="1"/>
  <c r="E19" i="1"/>
  <c r="K16" i="4"/>
  <c r="I26" i="4" s="1"/>
  <c r="J26" i="4" s="1"/>
  <c r="F19" i="1"/>
  <c r="C20" i="1"/>
  <c r="F25" i="1"/>
  <c r="H21" i="3"/>
  <c r="F27" i="3" s="1"/>
  <c r="F29" i="3" l="1"/>
  <c r="G27" i="3"/>
  <c r="F22" i="2"/>
  <c r="E28" i="2" s="1"/>
  <c r="H21" i="2"/>
  <c r="H22" i="3"/>
  <c r="E20" i="1"/>
  <c r="F20" i="1" s="1"/>
  <c r="E27" i="1"/>
  <c r="H19" i="1"/>
  <c r="F21" i="1" l="1"/>
  <c r="H20" i="1"/>
  <c r="F26" i="1" s="1"/>
  <c r="F28" i="2"/>
  <c r="H22" i="2"/>
  <c r="G26" i="3"/>
  <c r="G28" i="3"/>
  <c r="G29" i="3" l="1"/>
  <c r="H21" i="1"/>
  <c r="F30" i="2"/>
  <c r="F28" i="1"/>
  <c r="H16" i="4"/>
  <c r="H23" i="4" s="1"/>
  <c r="I23" i="4" s="1"/>
  <c r="J23" i="4" s="1"/>
  <c r="E26" i="1"/>
  <c r="G25" i="1" l="1"/>
  <c r="G27" i="1"/>
  <c r="J31" i="4"/>
  <c r="G26" i="1"/>
  <c r="G29" i="2"/>
  <c r="G32" i="2"/>
  <c r="G28" i="2"/>
  <c r="G27" i="2" l="1"/>
  <c r="K19" i="4"/>
  <c r="K29" i="4"/>
  <c r="K20" i="4"/>
  <c r="K26" i="4"/>
  <c r="G30" i="2"/>
  <c r="D27" i="2"/>
  <c r="K23" i="4"/>
  <c r="G28" i="1"/>
  <c r="K31" i="4" l="1"/>
</calcChain>
</file>

<file path=xl/sharedStrings.xml><?xml version="1.0" encoding="utf-8"?>
<sst xmlns="http://schemas.openxmlformats.org/spreadsheetml/2006/main" count="212" uniqueCount="115">
  <si>
    <t>Percentage Ownership Method</t>
  </si>
  <si>
    <t>Shareholder Group</t>
  </si>
  <si>
    <t>Founders</t>
  </si>
  <si>
    <t>Noteholders</t>
  </si>
  <si>
    <t>Series A Investors</t>
  </si>
  <si>
    <t>Investment Amount</t>
  </si>
  <si>
    <t>Negotiated Pre-Money</t>
  </si>
  <si>
    <t>True Pre-Money</t>
  </si>
  <si>
    <t>Ownership %</t>
  </si>
  <si>
    <t>&lt;---- Target Invest %</t>
  </si>
  <si>
    <t>Noteholder Discount $</t>
  </si>
  <si>
    <t>Noteholder Price per Share</t>
  </si>
  <si>
    <t>Investor Price per Share</t>
  </si>
  <si>
    <t>Note Discount</t>
  </si>
  <si>
    <t>Discount $</t>
  </si>
  <si>
    <t>Noteholder Price per share</t>
  </si>
  <si>
    <t>Noteholder Shares</t>
  </si>
  <si>
    <t>Interest rate established in the convertible note term sheet</t>
  </si>
  <si>
    <t>Post-Money Valuation</t>
  </si>
  <si>
    <t>Startup Formation</t>
  </si>
  <si>
    <t>Pre-Money Valuation:</t>
  </si>
  <si>
    <t>N/A</t>
  </si>
  <si>
    <t>Investment Amount:</t>
  </si>
  <si>
    <t>None</t>
  </si>
  <si>
    <t>Post-Money Valuation:</t>
  </si>
  <si>
    <t>Interest Rate:</t>
  </si>
  <si>
    <t>Shares Outstanding:</t>
  </si>
  <si>
    <t>Discount:</t>
  </si>
  <si>
    <t>Price Per Share:</t>
  </si>
  <si>
    <t>Shareholders</t>
  </si>
  <si>
    <t>Stock Type</t>
  </si>
  <si>
    <t>Founders' Shares</t>
  </si>
  <si>
    <t>Fully-Diluted Stock %</t>
  </si>
  <si>
    <t>Share Price</t>
  </si>
  <si>
    <t>Shares This Round</t>
  </si>
  <si>
    <t>Total Post-Round Shares</t>
  </si>
  <si>
    <t>Founder A</t>
  </si>
  <si>
    <t>Common</t>
  </si>
  <si>
    <t>Founder B</t>
  </si>
  <si>
    <t>Convertible Debt</t>
  </si>
  <si>
    <t>Convertible - Preferred</t>
  </si>
  <si>
    <t>Preferred</t>
  </si>
  <si>
    <t>Pre-Money Options</t>
  </si>
  <si>
    <t>Option Pool</t>
  </si>
  <si>
    <t>Totals</t>
  </si>
  <si>
    <t>Valuation Cap:</t>
  </si>
  <si>
    <t>Noteholder Name</t>
  </si>
  <si>
    <t>Note Share Price:</t>
  </si>
  <si>
    <t>Priced Funding Round Details</t>
  </si>
  <si>
    <t>Note Amount + Interest:</t>
  </si>
  <si>
    <t>Note Principal + Accrued Interest:</t>
  </si>
  <si>
    <t>Note Amount + Interest</t>
  </si>
  <si>
    <t>Note + Accrued Interest</t>
  </si>
  <si>
    <t># of Shares</t>
  </si>
  <si>
    <t>$ Amounts</t>
  </si>
  <si>
    <t>Convertible Note Holders</t>
  </si>
  <si>
    <t>Note + Interest</t>
  </si>
  <si>
    <t>Noteholder # of Shares</t>
  </si>
  <si>
    <t>Convertible Debt Round</t>
  </si>
  <si>
    <r>
      <t xml:space="preserve">Enter "A" for </t>
    </r>
    <r>
      <rPr>
        <b/>
        <sz val="12"/>
        <color theme="1"/>
        <rFont val="Calibri"/>
        <family val="2"/>
        <scheme val="minor"/>
      </rPr>
      <t>Fixed Pre-Money conversion method</t>
    </r>
  </si>
  <si>
    <r>
      <t xml:space="preserve">Enter "C" for the </t>
    </r>
    <r>
      <rPr>
        <b/>
        <sz val="12"/>
        <color theme="1"/>
        <rFont val="Calibri"/>
        <family val="2"/>
        <scheme val="minor"/>
      </rPr>
      <t>Dollars-Invested method</t>
    </r>
  </si>
  <si>
    <t>NOTE CONVERSION METHOD -----&gt;</t>
  </si>
  <si>
    <t>Convertible Note Details</t>
  </si>
  <si>
    <t>n/a</t>
  </si>
  <si>
    <t>Note Principal + Interest</t>
  </si>
  <si>
    <t>PPS Calculation (No Valuation Cap)</t>
  </si>
  <si>
    <t>PPS Calculation (with Valuation Cap)</t>
  </si>
  <si>
    <t>Discount Rate:</t>
  </si>
  <si>
    <t>Negotiated Pre-Money Valuation:</t>
  </si>
  <si>
    <t>Implied Investor Ownership %:</t>
  </si>
  <si>
    <t>FDSO before funding round:</t>
  </si>
  <si>
    <t>Lower of the two PPS:</t>
  </si>
  <si>
    <t>Calculated total of the investment amount plus the negotiated pre-money valuation</t>
  </si>
  <si>
    <t>Noteholder Discount %</t>
  </si>
  <si>
    <t>Post-Conversion Ownership Results</t>
  </si>
  <si>
    <t>PPS Calculation (with Valuation Cap):</t>
  </si>
  <si>
    <t>Series-A Investors</t>
  </si>
  <si>
    <t>FDSO Before Funding Round:</t>
  </si>
  <si>
    <t>Raise/Investment Amount:</t>
  </si>
  <si>
    <t>Amount Description</t>
  </si>
  <si>
    <t>A. Fixed Pre-Money Conversion Method</t>
  </si>
  <si>
    <t>B. Percentage Ownership Conversion Method</t>
  </si>
  <si>
    <t>C. Dollars Invested Conversion Method</t>
  </si>
  <si>
    <t>If the convertible note includes a Valuation Cap, it is reflected here</t>
  </si>
  <si>
    <t>Convertible debt funding amount raised from Angel investors, plus any accrued interest on the loan</t>
  </si>
  <si>
    <t>Discount rate Angel investors get on the Series-A price per share</t>
  </si>
  <si>
    <t>Amount of cash raised in the Series-A funding round</t>
  </si>
  <si>
    <t>Implied Series-A ownership percentage: Investment Amount / Post-Money Valuation</t>
  </si>
  <si>
    <t>Number of Fully Diluted Shares Outstanding prior to the Series-A round, typically the number of shares issued to founders that represent their equity ownership</t>
  </si>
  <si>
    <t>Pre-money valuation agreed on with the Series-A investors</t>
  </si>
  <si>
    <t>(All values on this sheet are automatically calculated, DO NOT enter any data in these cells)</t>
  </si>
  <si>
    <t>(All other values are calculated automatically)</t>
  </si>
  <si>
    <t>&lt;--- Target Series-A Ownership %</t>
  </si>
  <si>
    <t>(Enter a Investor Price per Share that causes the Series-A Investor Ownership % to match the target % in red)</t>
  </si>
  <si>
    <t>(In this conversion method the Convertible Note value is included in the Post-Money Valuation)</t>
  </si>
  <si>
    <t>Fixed Pre-Money Conversion Method</t>
  </si>
  <si>
    <t>Check</t>
  </si>
  <si>
    <t>(Only change the value of cell C20, Investor Price per Share)</t>
  </si>
  <si>
    <t>Series-A Round Investors</t>
  </si>
  <si>
    <t>Series-A Round</t>
  </si>
  <si>
    <t>Discount rate Noteholders get on the Series-A price per share</t>
  </si>
  <si>
    <t>Noteholder and Series-A Share Price and Number of Shares Calculations</t>
  </si>
  <si>
    <t>Convertible debt funding amount raised from Convertible Note investors, plus any accrued interest on the loan</t>
  </si>
  <si>
    <t>Discount rate Convertible Note investors get on the Series-A price per share</t>
  </si>
  <si>
    <t>PPS Calculation (No Valuation Cap):</t>
  </si>
  <si>
    <t>FDSO --&gt;</t>
  </si>
  <si>
    <t xml:space="preserve">Series-A </t>
  </si>
  <si>
    <t>VC Group</t>
  </si>
  <si>
    <r>
      <t xml:space="preserve">Enter "B" for the </t>
    </r>
    <r>
      <rPr>
        <b/>
        <sz val="12"/>
        <color theme="1"/>
        <rFont val="Calibri"/>
        <family val="2"/>
        <scheme val="minor"/>
      </rPr>
      <t>Percentage ownership method</t>
    </r>
  </si>
  <si>
    <t>Noteholder and Series-A Share Price Calculations</t>
  </si>
  <si>
    <t>© 2021-2025 1x1 Media, LLC</t>
  </si>
  <si>
    <t>Convertible Debt Cap Table Explorer</t>
  </si>
  <si>
    <t>A</t>
  </si>
  <si>
    <r>
      <t xml:space="preserve">A companion file to the </t>
    </r>
    <r>
      <rPr>
        <b/>
        <i/>
        <sz val="16"/>
        <color theme="1"/>
        <rFont val="Calibri (Body)"/>
      </rPr>
      <t>Founder's Pocket Guide: Convertible Debt</t>
    </r>
    <r>
      <rPr>
        <sz val="16"/>
        <color theme="1"/>
        <rFont val="Calibri"/>
        <family val="2"/>
        <scheme val="minor"/>
      </rPr>
      <t xml:space="preserve">, and the </t>
    </r>
    <r>
      <rPr>
        <b/>
        <i/>
        <sz val="16"/>
        <color theme="1"/>
        <rFont val="Calibri"/>
        <family val="2"/>
        <scheme val="minor"/>
      </rPr>
      <t>Founder's Pocket Guide: Startup Valuation 3rd Edition</t>
    </r>
  </si>
  <si>
    <t>(See Appendix A in these guides for detailed instructions)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</si>
</sst>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&quot;$&quot;* #,##0_-;\-&quot;$&quot;* #,##0_-;_-&quot;$&quot;* &quot;-&quot;??_-;_-@_-"/>
    <numFmt numFmtId="169" formatCode="_-* #,##0_-;\-* #,##0_-;_-* &quot;-&quot;??_-;_-@_-"/>
    <numFmt numFmtId="170" formatCode="&quot;$&quot;#,##0.000;[Red]\-&quot;$&quot;#,##0.000"/>
    <numFmt numFmtId="171" formatCode="0.0%"/>
    <numFmt numFmtId="172" formatCode="_(* #,##0_);_(* \(#,##0\);_(* &quot;-&quot;??_);_(@_)"/>
    <numFmt numFmtId="173" formatCode="_-&quot;$&quot;* #,##0.000_-;\-&quot;$&quot;* #,##0.000_-;_-&quot;$&quot;* &quot;-&quot;??_-;_-@_-"/>
    <numFmt numFmtId="174" formatCode="_-&quot;$&quot;* #,##0.0000_-;\-&quot;$&quot;* #,##0.0000_-;_-&quot;$&quot;* &quot;-&quot;??_-;_-@_-"/>
  </numFmts>
  <fonts count="4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FF"/>
      <name val="Calibri"/>
      <scheme val="minor"/>
    </font>
    <font>
      <sz val="12"/>
      <name val="Calibri"/>
      <scheme val="minor"/>
    </font>
    <font>
      <sz val="8"/>
      <color theme="1"/>
      <name val="Calibri"/>
      <scheme val="minor"/>
    </font>
    <font>
      <sz val="16"/>
      <name val="Open Sans Extrabold"/>
    </font>
    <font>
      <sz val="16"/>
      <color theme="1"/>
      <name val="Open Sans Extrabold"/>
    </font>
    <font>
      <sz val="16"/>
      <color theme="1"/>
      <name val="Open Sans Light"/>
    </font>
    <font>
      <b/>
      <sz val="16"/>
      <color theme="1"/>
      <name val="Open Sans Light"/>
    </font>
    <font>
      <sz val="16"/>
      <color rgb="FF0000FF"/>
      <name val="Open Sans Extrabold"/>
    </font>
    <font>
      <sz val="16"/>
      <color theme="1"/>
      <name val="Open Sans"/>
    </font>
    <font>
      <sz val="16"/>
      <color theme="1"/>
      <name val="Open Sans Semibold"/>
    </font>
    <font>
      <sz val="16"/>
      <name val="Open Sans Semibold"/>
    </font>
    <font>
      <sz val="12"/>
      <color theme="0" tint="-0.34998626667073579"/>
      <name val="Calibri"/>
      <family val="2"/>
      <scheme val="minor"/>
    </font>
    <font>
      <b/>
      <sz val="16"/>
      <color rgb="FF0000FF"/>
      <name val="Open Sans"/>
    </font>
    <font>
      <sz val="16"/>
      <name val="Open Sans"/>
    </font>
    <font>
      <sz val="16"/>
      <color theme="0" tint="-0.34998626667073579"/>
      <name val="Open Sans Extrabold"/>
    </font>
    <font>
      <sz val="16"/>
      <color theme="1"/>
      <name val="Calibri"/>
      <scheme val="minor"/>
    </font>
    <font>
      <sz val="24"/>
      <color theme="1"/>
      <name val="Calibri"/>
      <scheme val="minor"/>
    </font>
    <font>
      <sz val="16"/>
      <color rgb="FFFF0000"/>
      <name val="Open Sans Extrabold"/>
    </font>
    <font>
      <sz val="12"/>
      <color theme="1"/>
      <name val="Open Sans Semibold"/>
    </font>
    <font>
      <b/>
      <sz val="18"/>
      <color rgb="FF0000FF"/>
      <name val="Open Sans Semibold"/>
    </font>
    <font>
      <b/>
      <sz val="16"/>
      <color rgb="FF3366FF"/>
      <name val="Open Sans Extrabold"/>
    </font>
    <font>
      <sz val="16"/>
      <color rgb="FF3366FF"/>
      <name val="Open Sans Extrabold"/>
    </font>
    <font>
      <b/>
      <sz val="16"/>
      <color theme="1"/>
      <name val="Calibri"/>
      <scheme val="minor"/>
    </font>
    <font>
      <sz val="12"/>
      <color rgb="FFFF0000"/>
      <name val="Calibri"/>
      <family val="2"/>
      <scheme val="minor"/>
    </font>
    <font>
      <b/>
      <sz val="12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b/>
      <sz val="14"/>
      <color theme="1"/>
      <name val="Calibri"/>
      <scheme val="minor"/>
    </font>
    <font>
      <b/>
      <sz val="14"/>
      <color rgb="FF000000"/>
      <name val="Calibri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mbria"/>
      <family val="1"/>
    </font>
    <font>
      <b/>
      <i/>
      <sz val="16"/>
      <color theme="1"/>
      <name val="Calibri (Body)"/>
    </font>
    <font>
      <b/>
      <i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E4BC"/>
        <bgColor rgb="FF000000"/>
      </patternFill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25">
    <xf numFmtId="0" fontId="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78">
    <xf numFmtId="0" fontId="0" fillId="0" borderId="0" xfId="0"/>
    <xf numFmtId="0" fontId="4" fillId="0" borderId="0" xfId="0" applyFont="1"/>
    <xf numFmtId="166" fontId="0" fillId="0" borderId="0" xfId="0" applyNumberFormat="1"/>
    <xf numFmtId="9" fontId="0" fillId="0" borderId="0" xfId="3" applyFont="1"/>
    <xf numFmtId="169" fontId="0" fillId="0" borderId="0" xfId="0" applyNumberFormat="1"/>
    <xf numFmtId="166" fontId="7" fillId="0" borderId="0" xfId="0" applyNumberFormat="1" applyFont="1"/>
    <xf numFmtId="0" fontId="0" fillId="0" borderId="0" xfId="0" applyAlignment="1">
      <alignment horizontal="right"/>
    </xf>
    <xf numFmtId="9" fontId="0" fillId="0" borderId="0" xfId="3" applyFont="1" applyAlignment="1">
      <alignment horizontal="center"/>
    </xf>
    <xf numFmtId="166" fontId="8" fillId="0" borderId="0" xfId="0" applyNumberFormat="1" applyFont="1"/>
    <xf numFmtId="0" fontId="9" fillId="0" borderId="0" xfId="0" applyFont="1"/>
    <xf numFmtId="0" fontId="12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3" fontId="15" fillId="0" borderId="9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170" fontId="14" fillId="0" borderId="1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71" fontId="17" fillId="0" borderId="12" xfId="14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/>
    </xf>
    <xf numFmtId="0" fontId="0" fillId="2" borderId="14" xfId="0" applyFill="1" applyBorder="1"/>
    <xf numFmtId="0" fontId="18" fillId="2" borderId="15" xfId="0" applyFont="1" applyFill="1" applyBorder="1"/>
    <xf numFmtId="0" fontId="18" fillId="2" borderId="16" xfId="0" applyFont="1" applyFill="1" applyBorder="1"/>
    <xf numFmtId="0" fontId="18" fillId="2" borderId="14" xfId="0" applyFont="1" applyFill="1" applyBorder="1"/>
    <xf numFmtId="0" fontId="18" fillId="2" borderId="17" xfId="0" applyFont="1" applyFill="1" applyBorder="1"/>
    <xf numFmtId="0" fontId="18" fillId="2" borderId="18" xfId="0" applyFont="1" applyFill="1" applyBorder="1"/>
    <xf numFmtId="0" fontId="0" fillId="2" borderId="15" xfId="0" applyFill="1" applyBorder="1"/>
    <xf numFmtId="0" fontId="0" fillId="2" borderId="19" xfId="0" applyFill="1" applyBorder="1"/>
    <xf numFmtId="0" fontId="0" fillId="2" borderId="20" xfId="0" applyFill="1" applyBorder="1"/>
    <xf numFmtId="0" fontId="11" fillId="2" borderId="21" xfId="0" applyFont="1" applyFill="1" applyBorder="1" applyAlignment="1">
      <alignment horizontal="right"/>
    </xf>
    <xf numFmtId="0" fontId="15" fillId="2" borderId="22" xfId="0" applyFont="1" applyFill="1" applyBorder="1" applyAlignment="1">
      <alignment horizontal="center"/>
    </xf>
    <xf numFmtId="3" fontId="19" fillId="2" borderId="23" xfId="15" applyNumberFormat="1" applyFont="1" applyFill="1" applyBorder="1" applyAlignment="1">
      <alignment horizontal="center"/>
    </xf>
    <xf numFmtId="171" fontId="15" fillId="2" borderId="24" xfId="14" applyNumberFormat="1" applyFont="1" applyFill="1" applyBorder="1" applyAlignment="1">
      <alignment horizontal="center"/>
    </xf>
    <xf numFmtId="171" fontId="15" fillId="2" borderId="22" xfId="14" applyNumberFormat="1" applyFont="1" applyFill="1" applyBorder="1" applyAlignment="1">
      <alignment horizontal="center"/>
    </xf>
    <xf numFmtId="171" fontId="15" fillId="2" borderId="25" xfId="14" applyNumberFormat="1" applyFont="1" applyFill="1" applyBorder="1" applyAlignment="1">
      <alignment horizontal="center"/>
    </xf>
    <xf numFmtId="171" fontId="15" fillId="2" borderId="26" xfId="14" applyNumberFormat="1" applyFont="1" applyFill="1" applyBorder="1" applyAlignment="1">
      <alignment horizontal="center"/>
    </xf>
    <xf numFmtId="0" fontId="0" fillId="2" borderId="23" xfId="0" applyFill="1" applyBorder="1"/>
    <xf numFmtId="172" fontId="15" fillId="2" borderId="27" xfId="0" applyNumberFormat="1" applyFont="1" applyFill="1" applyBorder="1"/>
    <xf numFmtId="0" fontId="11" fillId="2" borderId="30" xfId="0" applyFont="1" applyFill="1" applyBorder="1" applyAlignment="1">
      <alignment horizontal="right"/>
    </xf>
    <xf numFmtId="171" fontId="20" fillId="2" borderId="24" xfId="14" applyNumberFormat="1" applyFont="1" applyFill="1" applyBorder="1" applyAlignment="1">
      <alignment horizontal="center"/>
    </xf>
    <xf numFmtId="171" fontId="20" fillId="2" borderId="22" xfId="14" applyNumberFormat="1" applyFont="1" applyFill="1" applyBorder="1" applyAlignment="1">
      <alignment horizontal="center"/>
    </xf>
    <xf numFmtId="171" fontId="20" fillId="2" borderId="25" xfId="14" applyNumberFormat="1" applyFont="1" applyFill="1" applyBorder="1" applyAlignment="1">
      <alignment horizontal="center"/>
    </xf>
    <xf numFmtId="171" fontId="20" fillId="2" borderId="26" xfId="14" applyNumberFormat="1" applyFont="1" applyFill="1" applyBorder="1" applyAlignment="1">
      <alignment horizontal="center"/>
    </xf>
    <xf numFmtId="0" fontId="11" fillId="0" borderId="13" xfId="0" applyFont="1" applyBorder="1" applyAlignment="1">
      <alignment horizontal="right"/>
    </xf>
    <xf numFmtId="0" fontId="15" fillId="0" borderId="25" xfId="0" applyFont="1" applyBorder="1" applyAlignment="1">
      <alignment horizontal="center"/>
    </xf>
    <xf numFmtId="3" fontId="19" fillId="0" borderId="31" xfId="15" applyNumberFormat="1" applyFont="1" applyFill="1" applyBorder="1" applyAlignment="1">
      <alignment horizontal="center"/>
    </xf>
    <xf numFmtId="171" fontId="20" fillId="0" borderId="32" xfId="14" applyNumberFormat="1" applyFont="1" applyFill="1" applyBorder="1" applyAlignment="1">
      <alignment horizontal="center"/>
    </xf>
    <xf numFmtId="171" fontId="20" fillId="0" borderId="33" xfId="14" applyNumberFormat="1" applyFont="1" applyFill="1" applyBorder="1" applyAlignment="1">
      <alignment horizontal="center"/>
    </xf>
    <xf numFmtId="171" fontId="20" fillId="0" borderId="34" xfId="14" applyNumberFormat="1" applyFont="1" applyFill="1" applyBorder="1" applyAlignment="1">
      <alignment horizontal="center"/>
    </xf>
    <xf numFmtId="171" fontId="20" fillId="0" borderId="35" xfId="14" applyNumberFormat="1" applyFont="1" applyFill="1" applyBorder="1" applyAlignment="1">
      <alignment horizontal="center"/>
    </xf>
    <xf numFmtId="0" fontId="0" fillId="0" borderId="23" xfId="0" applyBorder="1"/>
    <xf numFmtId="172" fontId="15" fillId="0" borderId="27" xfId="0" applyNumberFormat="1" applyFont="1" applyBorder="1"/>
    <xf numFmtId="171" fontId="15" fillId="0" borderId="28" xfId="14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right"/>
    </xf>
    <xf numFmtId="0" fontId="12" fillId="0" borderId="25" xfId="0" applyFont="1" applyBorder="1" applyAlignment="1">
      <alignment horizontal="center"/>
    </xf>
    <xf numFmtId="172" fontId="21" fillId="0" borderId="31" xfId="15" applyNumberFormat="1" applyFont="1" applyBorder="1" applyAlignment="1">
      <alignment horizontal="right"/>
    </xf>
    <xf numFmtId="9" fontId="21" fillId="0" borderId="32" xfId="14" applyFont="1" applyBorder="1" applyAlignment="1">
      <alignment horizontal="center"/>
    </xf>
    <xf numFmtId="9" fontId="21" fillId="0" borderId="33" xfId="14" applyFont="1" applyBorder="1" applyAlignment="1">
      <alignment horizontal="center"/>
    </xf>
    <xf numFmtId="9" fontId="21" fillId="0" borderId="34" xfId="14" applyFont="1" applyBorder="1" applyAlignment="1">
      <alignment horizontal="center"/>
    </xf>
    <xf numFmtId="9" fontId="21" fillId="0" borderId="35" xfId="14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15" fillId="3" borderId="21" xfId="0" applyFont="1" applyFill="1" applyBorder="1" applyAlignment="1">
      <alignment horizontal="center"/>
    </xf>
    <xf numFmtId="0" fontId="12" fillId="3" borderId="25" xfId="0" applyFont="1" applyFill="1" applyBorder="1" applyAlignment="1">
      <alignment horizontal="center"/>
    </xf>
    <xf numFmtId="172" fontId="21" fillId="3" borderId="31" xfId="15" applyNumberFormat="1" applyFont="1" applyFill="1" applyBorder="1" applyAlignment="1">
      <alignment horizontal="right"/>
    </xf>
    <xf numFmtId="9" fontId="21" fillId="3" borderId="32" xfId="14" applyFont="1" applyFill="1" applyBorder="1" applyAlignment="1">
      <alignment horizontal="center"/>
    </xf>
    <xf numFmtId="9" fontId="21" fillId="3" borderId="33" xfId="14" applyFont="1" applyFill="1" applyBorder="1" applyAlignment="1">
      <alignment horizontal="center"/>
    </xf>
    <xf numFmtId="9" fontId="21" fillId="3" borderId="34" xfId="14" applyFont="1" applyFill="1" applyBorder="1" applyAlignment="1">
      <alignment horizontal="center"/>
    </xf>
    <xf numFmtId="9" fontId="21" fillId="3" borderId="35" xfId="14" applyFont="1" applyFill="1" applyBorder="1" applyAlignment="1">
      <alignment horizontal="center"/>
    </xf>
    <xf numFmtId="0" fontId="0" fillId="3" borderId="23" xfId="0" applyFill="1" applyBorder="1"/>
    <xf numFmtId="0" fontId="0" fillId="3" borderId="27" xfId="0" applyFill="1" applyBorder="1"/>
    <xf numFmtId="0" fontId="0" fillId="3" borderId="28" xfId="0" applyFill="1" applyBorder="1"/>
    <xf numFmtId="0" fontId="11" fillId="3" borderId="21" xfId="0" applyFont="1" applyFill="1" applyBorder="1" applyAlignment="1">
      <alignment horizontal="right"/>
    </xf>
    <xf numFmtId="0" fontId="15" fillId="3" borderId="25" xfId="0" applyFont="1" applyFill="1" applyBorder="1" applyAlignment="1">
      <alignment horizontal="center"/>
    </xf>
    <xf numFmtId="172" fontId="15" fillId="3" borderId="23" xfId="0" applyNumberFormat="1" applyFont="1" applyFill="1" applyBorder="1"/>
    <xf numFmtId="172" fontId="15" fillId="3" borderId="27" xfId="0" applyNumberFormat="1" applyFont="1" applyFill="1" applyBorder="1"/>
    <xf numFmtId="0" fontId="15" fillId="5" borderId="21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/>
    </xf>
    <xf numFmtId="172" fontId="21" fillId="5" borderId="31" xfId="15" applyNumberFormat="1" applyFont="1" applyFill="1" applyBorder="1" applyAlignment="1">
      <alignment horizontal="right"/>
    </xf>
    <xf numFmtId="9" fontId="21" fillId="5" borderId="32" xfId="14" applyFont="1" applyFill="1" applyBorder="1" applyAlignment="1">
      <alignment horizontal="center"/>
    </xf>
    <xf numFmtId="9" fontId="21" fillId="5" borderId="33" xfId="14" applyFont="1" applyFill="1" applyBorder="1" applyAlignment="1">
      <alignment horizontal="center"/>
    </xf>
    <xf numFmtId="9" fontId="21" fillId="5" borderId="34" xfId="14" applyFont="1" applyFill="1" applyBorder="1" applyAlignment="1">
      <alignment horizontal="center"/>
    </xf>
    <xf numFmtId="9" fontId="21" fillId="5" borderId="35" xfId="14" applyFont="1" applyFill="1" applyBorder="1" applyAlignment="1">
      <alignment horizontal="center"/>
    </xf>
    <xf numFmtId="0" fontId="0" fillId="5" borderId="23" xfId="0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29" xfId="0" applyFill="1" applyBorder="1"/>
    <xf numFmtId="0" fontId="11" fillId="5" borderId="36" xfId="0" applyFont="1" applyFill="1" applyBorder="1" applyAlignment="1">
      <alignment horizontal="right"/>
    </xf>
    <xf numFmtId="0" fontId="15" fillId="5" borderId="37" xfId="0" applyFont="1" applyFill="1" applyBorder="1" applyAlignment="1">
      <alignment horizontal="center"/>
    </xf>
    <xf numFmtId="3" fontId="19" fillId="5" borderId="41" xfId="15" applyNumberFormat="1" applyFont="1" applyFill="1" applyBorder="1" applyAlignment="1">
      <alignment horizontal="center"/>
    </xf>
    <xf numFmtId="171" fontId="20" fillId="5" borderId="42" xfId="14" applyNumberFormat="1" applyFont="1" applyFill="1" applyBorder="1" applyAlignment="1">
      <alignment horizontal="center"/>
    </xf>
    <xf numFmtId="171" fontId="20" fillId="5" borderId="43" xfId="14" applyNumberFormat="1" applyFont="1" applyFill="1" applyBorder="1" applyAlignment="1">
      <alignment horizontal="center"/>
    </xf>
    <xf numFmtId="171" fontId="20" fillId="5" borderId="37" xfId="14" applyNumberFormat="1" applyFont="1" applyFill="1" applyBorder="1" applyAlignment="1">
      <alignment horizontal="center"/>
    </xf>
    <xf numFmtId="171" fontId="20" fillId="5" borderId="44" xfId="14" applyNumberFormat="1" applyFont="1" applyFill="1" applyBorder="1" applyAlignment="1">
      <alignment horizontal="center"/>
    </xf>
    <xf numFmtId="172" fontId="15" fillId="5" borderId="41" xfId="0" applyNumberFormat="1" applyFont="1" applyFill="1" applyBorder="1"/>
    <xf numFmtId="172" fontId="15" fillId="5" borderId="45" xfId="15" applyNumberFormat="1" applyFont="1" applyFill="1" applyBorder="1" applyAlignment="1">
      <alignment horizontal="right"/>
    </xf>
    <xf numFmtId="171" fontId="15" fillId="5" borderId="46" xfId="0" applyNumberFormat="1" applyFont="1" applyFill="1" applyBorder="1" applyAlignment="1">
      <alignment horizontal="center"/>
    </xf>
    <xf numFmtId="0" fontId="11" fillId="0" borderId="47" xfId="0" applyFont="1" applyBorder="1" applyAlignment="1">
      <alignment horizontal="right"/>
    </xf>
    <xf numFmtId="0" fontId="15" fillId="0" borderId="8" xfId="0" applyFont="1" applyBorder="1" applyAlignment="1">
      <alignment horizontal="center"/>
    </xf>
    <xf numFmtId="3" fontId="19" fillId="0" borderId="38" xfId="15" applyNumberFormat="1" applyFont="1" applyFill="1" applyBorder="1" applyAlignment="1">
      <alignment horizontal="center"/>
    </xf>
    <xf numFmtId="171" fontId="20" fillId="0" borderId="39" xfId="14" applyNumberFormat="1" applyFont="1" applyFill="1" applyBorder="1" applyAlignment="1">
      <alignment horizontal="center"/>
    </xf>
    <xf numFmtId="171" fontId="20" fillId="0" borderId="8" xfId="14" applyNumberFormat="1" applyFont="1" applyFill="1" applyBorder="1" applyAlignment="1">
      <alignment horizontal="center"/>
    </xf>
    <xf numFmtId="171" fontId="20" fillId="0" borderId="0" xfId="14" applyNumberFormat="1" applyFont="1" applyFill="1" applyBorder="1" applyAlignment="1">
      <alignment horizontal="center"/>
    </xf>
    <xf numFmtId="171" fontId="20" fillId="0" borderId="9" xfId="14" applyNumberFormat="1" applyFont="1" applyFill="1" applyBorder="1" applyAlignment="1">
      <alignment horizontal="center"/>
    </xf>
    <xf numFmtId="172" fontId="15" fillId="0" borderId="38" xfId="0" applyNumberFormat="1" applyFont="1" applyBorder="1"/>
    <xf numFmtId="172" fontId="15" fillId="0" borderId="48" xfId="15" applyNumberFormat="1" applyFont="1" applyFill="1" applyBorder="1" applyAlignment="1">
      <alignment horizontal="right"/>
    </xf>
    <xf numFmtId="171" fontId="15" fillId="0" borderId="49" xfId="0" applyNumberFormat="1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0" fillId="0" borderId="51" xfId="0" applyBorder="1"/>
    <xf numFmtId="3" fontId="20" fillId="0" borderId="51" xfId="0" applyNumberFormat="1" applyFont="1" applyBorder="1" applyAlignment="1">
      <alignment horizontal="center"/>
    </xf>
    <xf numFmtId="9" fontId="22" fillId="0" borderId="52" xfId="0" applyNumberFormat="1" applyFont="1" applyBorder="1" applyAlignment="1">
      <alignment horizontal="center"/>
    </xf>
    <xf numFmtId="9" fontId="22" fillId="0" borderId="10" xfId="0" applyNumberFormat="1" applyFont="1" applyBorder="1" applyAlignment="1">
      <alignment horizontal="center"/>
    </xf>
    <xf numFmtId="9" fontId="22" fillId="0" borderId="1" xfId="0" applyNumberFormat="1" applyFont="1" applyBorder="1" applyAlignment="1">
      <alignment horizontal="center"/>
    </xf>
    <xf numFmtId="9" fontId="22" fillId="0" borderId="11" xfId="0" applyNumberFormat="1" applyFont="1" applyBorder="1" applyAlignment="1">
      <alignment horizontal="center"/>
    </xf>
    <xf numFmtId="172" fontId="15" fillId="0" borderId="53" xfId="0" applyNumberFormat="1" applyFont="1" applyBorder="1"/>
    <xf numFmtId="9" fontId="15" fillId="0" borderId="54" xfId="0" applyNumberFormat="1" applyFont="1" applyBorder="1" applyAlignment="1">
      <alignment horizontal="center"/>
    </xf>
    <xf numFmtId="172" fontId="0" fillId="0" borderId="0" xfId="0" applyNumberFormat="1"/>
    <xf numFmtId="164" fontId="23" fillId="0" borderId="0" xfId="0" applyNumberFormat="1" applyFont="1"/>
    <xf numFmtId="164" fontId="0" fillId="0" borderId="0" xfId="0" applyNumberFormat="1"/>
    <xf numFmtId="167" fontId="0" fillId="0" borderId="0" xfId="0" applyNumberFormat="1"/>
    <xf numFmtId="0" fontId="12" fillId="6" borderId="21" xfId="0" applyFont="1" applyFill="1" applyBorder="1" applyAlignment="1">
      <alignment horizontal="right"/>
    </xf>
    <xf numFmtId="0" fontId="11" fillId="6" borderId="21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/>
    </xf>
    <xf numFmtId="3" fontId="19" fillId="6" borderId="23" xfId="15" applyNumberFormat="1" applyFont="1" applyFill="1" applyBorder="1" applyAlignment="1">
      <alignment horizontal="center"/>
    </xf>
    <xf numFmtId="171" fontId="20" fillId="6" borderId="24" xfId="14" applyNumberFormat="1" applyFont="1" applyFill="1" applyBorder="1" applyAlignment="1">
      <alignment horizontal="center"/>
    </xf>
    <xf numFmtId="171" fontId="20" fillId="6" borderId="28" xfId="14" applyNumberFormat="1" applyFont="1" applyFill="1" applyBorder="1" applyAlignment="1">
      <alignment horizontal="center"/>
    </xf>
    <xf numFmtId="172" fontId="15" fillId="6" borderId="23" xfId="0" applyNumberFormat="1" applyFont="1" applyFill="1" applyBorder="1"/>
    <xf numFmtId="172" fontId="15" fillId="6" borderId="27" xfId="15" applyNumberFormat="1" applyFont="1" applyFill="1" applyBorder="1" applyAlignment="1">
      <alignment horizontal="right"/>
    </xf>
    <xf numFmtId="171" fontId="15" fillId="6" borderId="28" xfId="0" applyNumberFormat="1" applyFont="1" applyFill="1" applyBorder="1" applyAlignment="1">
      <alignment horizontal="center"/>
    </xf>
    <xf numFmtId="2" fontId="20" fillId="6" borderId="28" xfId="14" applyNumberFormat="1" applyFont="1" applyFill="1" applyBorder="1" applyAlignment="1">
      <alignment horizontal="center"/>
    </xf>
    <xf numFmtId="0" fontId="26" fillId="6" borderId="4" xfId="0" applyFont="1" applyFill="1" applyBorder="1" applyAlignment="1">
      <alignment horizontal="center" vertical="center"/>
    </xf>
    <xf numFmtId="166" fontId="24" fillId="0" borderId="11" xfId="2" applyFont="1" applyBorder="1" applyAlignment="1">
      <alignment horizontal="center"/>
    </xf>
    <xf numFmtId="164" fontId="28" fillId="0" borderId="9" xfId="0" applyNumberFormat="1" applyFont="1" applyBorder="1" applyAlignment="1">
      <alignment horizontal="center"/>
    </xf>
    <xf numFmtId="9" fontId="27" fillId="0" borderId="9" xfId="0" applyNumberFormat="1" applyFont="1" applyBorder="1" applyAlignment="1">
      <alignment horizontal="center"/>
    </xf>
    <xf numFmtId="165" fontId="24" fillId="0" borderId="11" xfId="0" applyNumberFormat="1" applyFont="1" applyBorder="1" applyAlignment="1">
      <alignment horizontal="center"/>
    </xf>
    <xf numFmtId="10" fontId="15" fillId="3" borderId="28" xfId="0" applyNumberFormat="1" applyFont="1" applyFill="1" applyBorder="1" applyAlignment="1">
      <alignment horizontal="center"/>
    </xf>
    <xf numFmtId="10" fontId="15" fillId="6" borderId="28" xfId="0" applyNumberFormat="1" applyFont="1" applyFill="1" applyBorder="1" applyAlignment="1">
      <alignment horizontal="center"/>
    </xf>
    <xf numFmtId="10" fontId="15" fillId="2" borderId="28" xfId="14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6" fontId="8" fillId="5" borderId="27" xfId="0" applyNumberFormat="1" applyFont="1" applyFill="1" applyBorder="1"/>
    <xf numFmtId="9" fontId="0" fillId="5" borderId="27" xfId="3" applyFont="1" applyFill="1" applyBorder="1" applyAlignment="1">
      <alignment horizontal="center"/>
    </xf>
    <xf numFmtId="166" fontId="0" fillId="5" borderId="27" xfId="0" applyNumberFormat="1" applyFill="1" applyBorder="1"/>
    <xf numFmtId="168" fontId="0" fillId="5" borderId="27" xfId="0" applyNumberFormat="1" applyFill="1" applyBorder="1"/>
    <xf numFmtId="169" fontId="0" fillId="5" borderId="27" xfId="1" applyNumberFormat="1" applyFont="1" applyFill="1" applyBorder="1"/>
    <xf numFmtId="166" fontId="0" fillId="5" borderId="27" xfId="0" applyNumberFormat="1" applyFill="1" applyBorder="1" applyAlignment="1">
      <alignment horizontal="center"/>
    </xf>
    <xf numFmtId="169" fontId="0" fillId="5" borderId="27" xfId="1" applyNumberFormat="1" applyFont="1" applyFill="1" applyBorder="1" applyAlignment="1">
      <alignment horizontal="center"/>
    </xf>
    <xf numFmtId="169" fontId="0" fillId="5" borderId="27" xfId="0" applyNumberFormat="1" applyFill="1" applyBorder="1"/>
    <xf numFmtId="0" fontId="0" fillId="4" borderId="15" xfId="0" applyFill="1" applyBorder="1" applyAlignment="1">
      <alignment horizontal="right"/>
    </xf>
    <xf numFmtId="168" fontId="0" fillId="4" borderId="20" xfId="2" applyNumberFormat="1" applyFont="1" applyFill="1" applyBorder="1"/>
    <xf numFmtId="0" fontId="0" fillId="4" borderId="23" xfId="0" applyFill="1" applyBorder="1" applyAlignment="1">
      <alignment horizontal="right"/>
    </xf>
    <xf numFmtId="9" fontId="0" fillId="4" borderId="28" xfId="0" applyNumberFormat="1" applyFill="1" applyBorder="1" applyAlignment="1">
      <alignment horizontal="center"/>
    </xf>
    <xf numFmtId="0" fontId="0" fillId="4" borderId="41" xfId="0" applyFill="1" applyBorder="1" applyAlignment="1">
      <alignment horizontal="right"/>
    </xf>
    <xf numFmtId="168" fontId="0" fillId="4" borderId="46" xfId="0" applyNumberFormat="1" applyFill="1" applyBorder="1" applyAlignment="1">
      <alignment horizontal="center"/>
    </xf>
    <xf numFmtId="168" fontId="0" fillId="4" borderId="28" xfId="2" applyNumberFormat="1" applyFont="1" applyFill="1" applyBorder="1"/>
    <xf numFmtId="168" fontId="0" fillId="4" borderId="28" xfId="0" applyNumberFormat="1" applyFill="1" applyBorder="1"/>
    <xf numFmtId="9" fontId="0" fillId="4" borderId="28" xfId="3" applyFont="1" applyFill="1" applyBorder="1" applyAlignment="1">
      <alignment horizontal="center"/>
    </xf>
    <xf numFmtId="169" fontId="0" fillId="4" borderId="46" xfId="1" applyNumberFormat="1" applyFont="1" applyFill="1" applyBorder="1" applyAlignment="1">
      <alignment horizontal="center"/>
    </xf>
    <xf numFmtId="0" fontId="0" fillId="4" borderId="27" xfId="0" applyFill="1" applyBorder="1" applyAlignment="1">
      <alignment horizontal="right"/>
    </xf>
    <xf numFmtId="168" fontId="0" fillId="4" borderId="27" xfId="2" applyNumberFormat="1" applyFont="1" applyFill="1" applyBorder="1"/>
    <xf numFmtId="9" fontId="0" fillId="4" borderId="27" xfId="0" applyNumberFormat="1" applyFill="1" applyBorder="1" applyAlignment="1">
      <alignment horizontal="center"/>
    </xf>
    <xf numFmtId="168" fontId="0" fillId="4" borderId="27" xfId="0" applyNumberFormat="1" applyFill="1" applyBorder="1"/>
    <xf numFmtId="9" fontId="0" fillId="4" borderId="27" xfId="3" applyFont="1" applyFill="1" applyBorder="1" applyAlignment="1">
      <alignment horizontal="center"/>
    </xf>
    <xf numFmtId="169" fontId="0" fillId="4" borderId="27" xfId="1" applyNumberFormat="1" applyFont="1" applyFill="1" applyBorder="1"/>
    <xf numFmtId="0" fontId="0" fillId="5" borderId="27" xfId="0" applyFill="1" applyBorder="1" applyAlignment="1">
      <alignment horizontal="right"/>
    </xf>
    <xf numFmtId="174" fontId="0" fillId="5" borderId="27" xfId="0" applyNumberFormat="1" applyFill="1" applyBorder="1"/>
    <xf numFmtId="166" fontId="0" fillId="5" borderId="27" xfId="2" applyFont="1" applyFill="1" applyBorder="1" applyAlignment="1">
      <alignment horizontal="center"/>
    </xf>
    <xf numFmtId="9" fontId="0" fillId="5" borderId="27" xfId="0" applyNumberFormat="1" applyFill="1" applyBorder="1" applyAlignment="1">
      <alignment horizontal="center"/>
    </xf>
    <xf numFmtId="0" fontId="29" fillId="0" borderId="0" xfId="0" applyFont="1"/>
    <xf numFmtId="0" fontId="4" fillId="5" borderId="27" xfId="0" applyFont="1" applyFill="1" applyBorder="1" applyAlignment="1">
      <alignment horizontal="center"/>
    </xf>
    <xf numFmtId="168" fontId="0" fillId="5" borderId="27" xfId="2" applyNumberFormat="1" applyFont="1" applyFill="1" applyBorder="1"/>
    <xf numFmtId="0" fontId="0" fillId="5" borderId="27" xfId="0" applyFill="1" applyBorder="1" applyAlignment="1">
      <alignment horizontal="center"/>
    </xf>
    <xf numFmtId="10" fontId="0" fillId="5" borderId="27" xfId="0" applyNumberFormat="1" applyFill="1" applyBorder="1"/>
    <xf numFmtId="10" fontId="0" fillId="5" borderId="27" xfId="3" applyNumberFormat="1" applyFont="1" applyFill="1" applyBorder="1"/>
    <xf numFmtId="9" fontId="30" fillId="5" borderId="27" xfId="3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 wrapText="1"/>
    </xf>
    <xf numFmtId="168" fontId="0" fillId="4" borderId="27" xfId="0" applyNumberFormat="1" applyFill="1" applyBorder="1" applyAlignment="1">
      <alignment horizontal="center"/>
    </xf>
    <xf numFmtId="169" fontId="0" fillId="4" borderId="27" xfId="1" applyNumberFormat="1" applyFont="1" applyFill="1" applyBorder="1" applyAlignment="1">
      <alignment horizontal="center"/>
    </xf>
    <xf numFmtId="166" fontId="0" fillId="5" borderId="27" xfId="3" applyNumberFormat="1" applyFont="1" applyFill="1" applyBorder="1"/>
    <xf numFmtId="9" fontId="0" fillId="5" borderId="27" xfId="3" applyFont="1" applyFill="1" applyBorder="1"/>
    <xf numFmtId="167" fontId="0" fillId="5" borderId="27" xfId="1" applyFont="1" applyFill="1" applyBorder="1"/>
    <xf numFmtId="167" fontId="0" fillId="5" borderId="27" xfId="0" applyNumberFormat="1" applyFill="1" applyBorder="1"/>
    <xf numFmtId="0" fontId="4" fillId="5" borderId="27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32" fillId="0" borderId="0" xfId="0" applyFont="1"/>
    <xf numFmtId="173" fontId="7" fillId="6" borderId="27" xfId="2" applyNumberFormat="1" applyFont="1" applyFill="1" applyBorder="1"/>
    <xf numFmtId="168" fontId="0" fillId="5" borderId="40" xfId="2" applyNumberFormat="1" applyFont="1" applyFill="1" applyBorder="1"/>
    <xf numFmtId="168" fontId="0" fillId="5" borderId="45" xfId="2" applyNumberFormat="1" applyFont="1" applyFill="1" applyBorder="1"/>
    <xf numFmtId="10" fontId="30" fillId="5" borderId="27" xfId="3" applyNumberFormat="1" applyFont="1" applyFill="1" applyBorder="1" applyAlignment="1">
      <alignment horizontal="center"/>
    </xf>
    <xf numFmtId="166" fontId="7" fillId="6" borderId="27" xfId="0" applyNumberFormat="1" applyFont="1" applyFill="1" applyBorder="1"/>
    <xf numFmtId="169" fontId="0" fillId="0" borderId="0" xfId="1" applyNumberFormat="1" applyFont="1" applyFill="1" applyBorder="1" applyAlignment="1">
      <alignment horizontal="center"/>
    </xf>
    <xf numFmtId="0" fontId="0" fillId="5" borderId="24" xfId="0" applyFill="1" applyBorder="1"/>
    <xf numFmtId="166" fontId="0" fillId="5" borderId="27" xfId="0" applyNumberFormat="1" applyFill="1" applyBorder="1" applyAlignment="1">
      <alignment horizontal="right" wrapText="1"/>
    </xf>
    <xf numFmtId="166" fontId="0" fillId="5" borderId="27" xfId="0" applyNumberFormat="1" applyFill="1" applyBorder="1" applyAlignment="1">
      <alignment horizontal="center" vertical="center"/>
    </xf>
    <xf numFmtId="0" fontId="0" fillId="5" borderId="25" xfId="0" applyFill="1" applyBorder="1"/>
    <xf numFmtId="168" fontId="0" fillId="5" borderId="27" xfId="0" applyNumberFormat="1" applyFill="1" applyBorder="1" applyAlignment="1">
      <alignment horizontal="right"/>
    </xf>
    <xf numFmtId="169" fontId="0" fillId="5" borderId="27" xfId="1" applyNumberFormat="1" applyFont="1" applyFill="1" applyBorder="1" applyAlignment="1">
      <alignment horizontal="center" vertical="center"/>
    </xf>
    <xf numFmtId="166" fontId="8" fillId="5" borderId="27" xfId="0" applyNumberFormat="1" applyFont="1" applyFill="1" applyBorder="1" applyAlignment="1">
      <alignment horizontal="center"/>
    </xf>
    <xf numFmtId="169" fontId="0" fillId="5" borderId="27" xfId="0" applyNumberFormat="1" applyFill="1" applyBorder="1" applyAlignment="1">
      <alignment horizontal="center" vertical="center"/>
    </xf>
    <xf numFmtId="166" fontId="0" fillId="5" borderId="27" xfId="0" applyNumberFormat="1" applyFill="1" applyBorder="1" applyAlignment="1">
      <alignment vertical="center"/>
    </xf>
    <xf numFmtId="0" fontId="30" fillId="5" borderId="27" xfId="0" applyFont="1" applyFill="1" applyBorder="1" applyAlignment="1">
      <alignment horizontal="right"/>
    </xf>
    <xf numFmtId="168" fontId="30" fillId="5" borderId="40" xfId="2" applyNumberFormat="1" applyFont="1" applyFill="1" applyBorder="1"/>
    <xf numFmtId="169" fontId="0" fillId="5" borderId="40" xfId="0" applyNumberFormat="1" applyFill="1" applyBorder="1"/>
    <xf numFmtId="169" fontId="0" fillId="5" borderId="45" xfId="1" applyNumberFormat="1" applyFont="1" applyFill="1" applyBorder="1"/>
    <xf numFmtId="168" fontId="0" fillId="5" borderId="40" xfId="0" applyNumberFormat="1" applyFill="1" applyBorder="1" applyAlignment="1">
      <alignment horizontal="right"/>
    </xf>
    <xf numFmtId="168" fontId="0" fillId="5" borderId="45" xfId="0" applyNumberFormat="1" applyFill="1" applyBorder="1" applyAlignment="1">
      <alignment horizontal="right"/>
    </xf>
    <xf numFmtId="10" fontId="0" fillId="5" borderId="40" xfId="0" applyNumberFormat="1" applyFill="1" applyBorder="1"/>
    <xf numFmtId="10" fontId="0" fillId="7" borderId="45" xfId="3" applyNumberFormat="1" applyFont="1" applyFill="1" applyBorder="1"/>
    <xf numFmtId="10" fontId="1" fillId="7" borderId="45" xfId="3" applyNumberFormat="1" applyFont="1" applyFill="1" applyBorder="1"/>
    <xf numFmtId="10" fontId="0" fillId="5" borderId="45" xfId="3" applyNumberFormat="1" applyFont="1" applyFill="1" applyBorder="1"/>
    <xf numFmtId="0" fontId="36" fillId="0" borderId="0" xfId="0" applyFont="1"/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5" fillId="6" borderId="2" xfId="0" applyFont="1" applyFill="1" applyBorder="1" applyAlignment="1">
      <alignment horizontal="right" vertical="center"/>
    </xf>
    <xf numFmtId="0" fontId="25" fillId="6" borderId="4" xfId="0" applyFont="1" applyFill="1" applyBorder="1" applyAlignment="1">
      <alignment horizontal="right" vertical="center"/>
    </xf>
    <xf numFmtId="171" fontId="20" fillId="6" borderId="22" xfId="14" applyNumberFormat="1" applyFont="1" applyFill="1" applyBorder="1" applyAlignment="1">
      <alignment horizontal="center" vertical="center" wrapText="1"/>
    </xf>
    <xf numFmtId="171" fontId="20" fillId="6" borderId="29" xfId="14" applyNumberFormat="1" applyFont="1" applyFill="1" applyBorder="1" applyAlignment="1">
      <alignment horizontal="center" vertical="center" wrapText="1"/>
    </xf>
    <xf numFmtId="164" fontId="20" fillId="6" borderId="22" xfId="14" applyNumberFormat="1" applyFont="1" applyFill="1" applyBorder="1" applyAlignment="1">
      <alignment horizontal="center"/>
    </xf>
    <xf numFmtId="164" fontId="20" fillId="6" borderId="29" xfId="14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right" vertical="center"/>
    </xf>
    <xf numFmtId="0" fontId="11" fillId="6" borderId="6" xfId="0" applyFont="1" applyFill="1" applyBorder="1" applyAlignment="1">
      <alignment horizontal="right" vertical="center"/>
    </xf>
    <xf numFmtId="0" fontId="11" fillId="6" borderId="10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right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171" fontId="17" fillId="0" borderId="2" xfId="14" applyNumberFormat="1" applyFont="1" applyFill="1" applyBorder="1" applyAlignment="1">
      <alignment horizontal="center" vertical="center" wrapText="1"/>
    </xf>
    <xf numFmtId="171" fontId="17" fillId="0" borderId="3" xfId="14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35" fillId="8" borderId="27" xfId="0" applyFont="1" applyFill="1" applyBorder="1" applyAlignment="1">
      <alignment horizontal="center"/>
    </xf>
    <xf numFmtId="0" fontId="34" fillId="5" borderId="27" xfId="0" applyFont="1" applyFill="1" applyBorder="1" applyAlignment="1">
      <alignment horizontal="center"/>
    </xf>
    <xf numFmtId="0" fontId="0" fillId="5" borderId="27" xfId="0" applyFill="1" applyBorder="1" applyAlignment="1">
      <alignment horizontal="right" vertical="center"/>
    </xf>
    <xf numFmtId="0" fontId="4" fillId="4" borderId="27" xfId="0" applyFont="1" applyFill="1" applyBorder="1" applyAlignment="1">
      <alignment horizontal="center"/>
    </xf>
    <xf numFmtId="0" fontId="33" fillId="8" borderId="27" xfId="0" applyFont="1" applyFill="1" applyBorder="1" applyAlignment="1">
      <alignment horizontal="center" wrapText="1"/>
    </xf>
    <xf numFmtId="0" fontId="37" fillId="5" borderId="27" xfId="0" applyFont="1" applyFill="1" applyBorder="1" applyAlignment="1">
      <alignment horizontal="center"/>
    </xf>
    <xf numFmtId="0" fontId="32" fillId="5" borderId="24" xfId="0" applyFont="1" applyFill="1" applyBorder="1" applyAlignment="1">
      <alignment horizontal="center" wrapText="1"/>
    </xf>
    <xf numFmtId="0" fontId="32" fillId="5" borderId="29" xfId="0" applyFont="1" applyFill="1" applyBorder="1" applyAlignment="1">
      <alignment horizontal="center" wrapText="1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4" fillId="0" borderId="0" xfId="0" applyFont="1"/>
  </cellXfs>
  <cellStyles count="125">
    <cellStyle name="Comma" xfId="1" builtinId="3"/>
    <cellStyle name="Comma 2" xfId="15" xr:uid="{00000000-0005-0000-0000-000001000000}"/>
    <cellStyle name="Currency" xfId="2" builtinId="4"/>
    <cellStyle name="Currency 2" xfId="16" xr:uid="{00000000-0005-0000-0000-000003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Normal" xfId="0" builtinId="0"/>
    <cellStyle name="Percent" xfId="3" builtinId="5"/>
    <cellStyle name="Percent 2" xfId="14" xr:uid="{00000000-0005-0000-0000-00007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0"/>
  <sheetViews>
    <sheetView tabSelected="1" workbookViewId="0">
      <selection activeCell="B4" sqref="B4"/>
    </sheetView>
  </sheetViews>
  <sheetFormatPr baseColWidth="10" defaultRowHeight="16"/>
  <cols>
    <col min="2" max="2" width="32" customWidth="1"/>
    <col min="3" max="3" width="32.83203125" customWidth="1"/>
    <col min="4" max="4" width="28.5" bestFit="1" customWidth="1"/>
    <col min="5" max="7" width="16.83203125" customWidth="1"/>
    <col min="8" max="8" width="19" customWidth="1"/>
    <col min="9" max="9" width="16.1640625" bestFit="1" customWidth="1"/>
    <col min="10" max="10" width="18.6640625" customWidth="1"/>
    <col min="11" max="11" width="19.33203125" bestFit="1" customWidth="1"/>
  </cols>
  <sheetData>
    <row r="1" spans="2:11" ht="37">
      <c r="B1" s="277" t="s">
        <v>111</v>
      </c>
    </row>
    <row r="2" spans="2:11" ht="21">
      <c r="B2" s="274" t="s">
        <v>113</v>
      </c>
    </row>
    <row r="3" spans="2:11" ht="20" customHeight="1">
      <c r="B3" s="274" t="s">
        <v>114</v>
      </c>
    </row>
    <row r="4" spans="2:11" ht="27" thickBot="1">
      <c r="B4" s="275"/>
    </row>
    <row r="5" spans="2:11" ht="18">
      <c r="B5" s="276"/>
      <c r="I5" s="215" t="s">
        <v>59</v>
      </c>
      <c r="J5" s="216"/>
      <c r="K5" s="217"/>
    </row>
    <row r="6" spans="2:11">
      <c r="I6" s="218" t="s">
        <v>108</v>
      </c>
      <c r="J6" s="219"/>
      <c r="K6" s="220"/>
    </row>
    <row r="7" spans="2:11" ht="17" thickBot="1">
      <c r="I7" s="221" t="s">
        <v>60</v>
      </c>
      <c r="J7" s="222"/>
      <c r="K7" s="223"/>
    </row>
    <row r="8" spans="2:11" ht="15" customHeight="1">
      <c r="F8" s="249" t="s">
        <v>61</v>
      </c>
      <c r="G8" s="250"/>
      <c r="H8" s="250"/>
      <c r="I8" s="253" t="s">
        <v>112</v>
      </c>
      <c r="J8" s="254"/>
      <c r="K8" s="255"/>
    </row>
    <row r="9" spans="2:11" ht="16" customHeight="1" thickBot="1">
      <c r="F9" s="251"/>
      <c r="G9" s="252"/>
      <c r="H9" s="252"/>
      <c r="I9" s="256"/>
      <c r="J9" s="257"/>
      <c r="K9" s="258"/>
    </row>
    <row r="10" spans="2:11" ht="29" customHeight="1" thickBot="1">
      <c r="D10" s="232"/>
      <c r="E10" s="233"/>
      <c r="F10" s="243"/>
      <c r="G10" s="244"/>
      <c r="H10" s="133"/>
      <c r="I10" s="234"/>
      <c r="J10" s="235"/>
      <c r="K10" s="236"/>
    </row>
    <row r="11" spans="2:11" ht="24">
      <c r="D11" s="237" t="s">
        <v>19</v>
      </c>
      <c r="E11" s="238"/>
      <c r="F11" s="237" t="s">
        <v>58</v>
      </c>
      <c r="G11" s="238"/>
      <c r="H11" s="239"/>
      <c r="I11" s="240" t="s">
        <v>99</v>
      </c>
      <c r="J11" s="241"/>
      <c r="K11" s="242"/>
    </row>
    <row r="12" spans="2:11" ht="24">
      <c r="D12" s="10" t="s">
        <v>20</v>
      </c>
      <c r="E12" s="11" t="s">
        <v>21</v>
      </c>
      <c r="F12" s="228" t="s">
        <v>45</v>
      </c>
      <c r="G12" s="229"/>
      <c r="H12" s="135">
        <v>0</v>
      </c>
      <c r="I12" s="230" t="s">
        <v>20</v>
      </c>
      <c r="J12" s="231"/>
      <c r="K12" s="12">
        <v>8000000</v>
      </c>
    </row>
    <row r="13" spans="2:11" ht="24">
      <c r="D13" s="10" t="s">
        <v>22</v>
      </c>
      <c r="E13" s="11" t="s">
        <v>23</v>
      </c>
      <c r="F13" s="228" t="s">
        <v>49</v>
      </c>
      <c r="G13" s="229"/>
      <c r="H13" s="135">
        <v>1000000</v>
      </c>
      <c r="I13" s="230" t="s">
        <v>22</v>
      </c>
      <c r="J13" s="231"/>
      <c r="K13" s="12">
        <v>2000000</v>
      </c>
    </row>
    <row r="14" spans="2:11" ht="24">
      <c r="D14" s="10" t="s">
        <v>24</v>
      </c>
      <c r="E14" s="11" t="s">
        <v>21</v>
      </c>
      <c r="F14" s="228" t="s">
        <v>25</v>
      </c>
      <c r="G14" s="229"/>
      <c r="H14" s="136">
        <v>0.1</v>
      </c>
      <c r="I14" s="230" t="s">
        <v>24</v>
      </c>
      <c r="J14" s="231"/>
      <c r="K14" s="13">
        <f>+K12+K13</f>
        <v>10000000</v>
      </c>
    </row>
    <row r="15" spans="2:11" ht="24">
      <c r="D15" s="10" t="s">
        <v>26</v>
      </c>
      <c r="E15" s="11" t="s">
        <v>23</v>
      </c>
      <c r="F15" s="228" t="s">
        <v>27</v>
      </c>
      <c r="G15" s="229"/>
      <c r="H15" s="136">
        <v>0.3</v>
      </c>
      <c r="I15" s="230" t="s">
        <v>26</v>
      </c>
      <c r="J15" s="231"/>
      <c r="K15" s="14">
        <f>+D31</f>
        <v>1000000</v>
      </c>
    </row>
    <row r="16" spans="2:11" ht="25" thickBot="1">
      <c r="D16" s="15" t="s">
        <v>28</v>
      </c>
      <c r="E16" s="16">
        <v>1E-3</v>
      </c>
      <c r="F16" s="224" t="s">
        <v>47</v>
      </c>
      <c r="G16" s="225"/>
      <c r="H16" s="134">
        <f>+IF(I8="A",'A. Fixed Pre-Money method'!F21,IF('Full Cap Table Convert Debt'!I8="B",'B. Percentage Ownership Method'!F22,'C. Dollars Invested Method'!F22))</f>
        <v>5.6</v>
      </c>
      <c r="I16" s="226" t="s">
        <v>28</v>
      </c>
      <c r="J16" s="227"/>
      <c r="K16" s="137">
        <f>+IF(I8="A",'A. Fixed Pre-Money method'!C19,IF('Full Cap Table Convert Debt'!I8="B",'B. Percentage Ownership Method'!C20,'C. Dollars Invested Method'!C20))</f>
        <v>8</v>
      </c>
    </row>
    <row r="17" spans="2:11" ht="76" thickBot="1">
      <c r="B17" s="17" t="s">
        <v>29</v>
      </c>
      <c r="C17" s="17" t="s">
        <v>30</v>
      </c>
      <c r="D17" s="18" t="s">
        <v>31</v>
      </c>
      <c r="E17" s="19" t="s">
        <v>32</v>
      </c>
      <c r="F17" s="259" t="s">
        <v>51</v>
      </c>
      <c r="G17" s="260"/>
      <c r="H17" s="20" t="s">
        <v>33</v>
      </c>
      <c r="I17" s="21" t="s">
        <v>34</v>
      </c>
      <c r="J17" s="18" t="s">
        <v>35</v>
      </c>
      <c r="K17" s="18" t="s">
        <v>32</v>
      </c>
    </row>
    <row r="18" spans="2:11" ht="24">
      <c r="B18" s="22" t="s">
        <v>19</v>
      </c>
      <c r="C18" s="23"/>
      <c r="D18" s="24"/>
      <c r="E18" s="25"/>
      <c r="F18" s="26"/>
      <c r="G18" s="27"/>
      <c r="H18" s="28"/>
      <c r="I18" s="29"/>
      <c r="J18" s="30"/>
      <c r="K18" s="31"/>
    </row>
    <row r="19" spans="2:11" ht="24">
      <c r="B19" s="32" t="s">
        <v>36</v>
      </c>
      <c r="C19" s="33" t="s">
        <v>37</v>
      </c>
      <c r="D19" s="34">
        <v>500000</v>
      </c>
      <c r="E19" s="35">
        <f>+D19/D31</f>
        <v>0.5</v>
      </c>
      <c r="F19" s="36"/>
      <c r="G19" s="37"/>
      <c r="H19" s="38"/>
      <c r="I19" s="39"/>
      <c r="J19" s="40">
        <f>+D19</f>
        <v>500000</v>
      </c>
      <c r="K19" s="140">
        <f>+J19/J31</f>
        <v>0.35</v>
      </c>
    </row>
    <row r="20" spans="2:11" ht="25" thickBot="1">
      <c r="B20" s="41" t="s">
        <v>38</v>
      </c>
      <c r="C20" s="33" t="s">
        <v>37</v>
      </c>
      <c r="D20" s="34">
        <v>500000</v>
      </c>
      <c r="E20" s="42">
        <f>+D20/D31</f>
        <v>0.5</v>
      </c>
      <c r="F20" s="43"/>
      <c r="G20" s="44"/>
      <c r="H20" s="45"/>
      <c r="I20" s="39"/>
      <c r="J20" s="40">
        <f>+D20</f>
        <v>500000</v>
      </c>
      <c r="K20" s="140">
        <f>+J20/J31</f>
        <v>0.35</v>
      </c>
    </row>
    <row r="21" spans="2:11" ht="24">
      <c r="B21" s="46"/>
      <c r="C21" s="47"/>
      <c r="D21" s="48"/>
      <c r="E21" s="49"/>
      <c r="F21" s="50"/>
      <c r="G21" s="51"/>
      <c r="H21" s="52"/>
      <c r="I21" s="53"/>
      <c r="J21" s="54"/>
      <c r="K21" s="55"/>
    </row>
    <row r="22" spans="2:11" ht="46" customHeight="1">
      <c r="B22" s="124" t="s">
        <v>39</v>
      </c>
      <c r="C22" s="125"/>
      <c r="D22" s="126"/>
      <c r="E22" s="127"/>
      <c r="F22" s="245"/>
      <c r="G22" s="246"/>
      <c r="H22" s="128"/>
      <c r="I22" s="129"/>
      <c r="J22" s="130"/>
      <c r="K22" s="131"/>
    </row>
    <row r="23" spans="2:11" ht="24">
      <c r="B23" s="123" t="s">
        <v>46</v>
      </c>
      <c r="C23" s="125" t="s">
        <v>40</v>
      </c>
      <c r="D23" s="126"/>
      <c r="E23" s="127"/>
      <c r="F23" s="247">
        <f>+H13</f>
        <v>1000000</v>
      </c>
      <c r="G23" s="248"/>
      <c r="H23" s="132">
        <f>+H16</f>
        <v>5.6</v>
      </c>
      <c r="I23" s="129">
        <f>+(F23+G23)/H23</f>
        <v>178571.42857142858</v>
      </c>
      <c r="J23" s="130">
        <f>+I23</f>
        <v>178571.42857142858</v>
      </c>
      <c r="K23" s="139">
        <f>+J23/J31</f>
        <v>0.125</v>
      </c>
    </row>
    <row r="24" spans="2:11" ht="24">
      <c r="B24" s="56"/>
      <c r="C24" s="57"/>
      <c r="D24" s="58"/>
      <c r="E24" s="59"/>
      <c r="F24" s="60"/>
      <c r="G24" s="61"/>
      <c r="H24" s="62"/>
      <c r="I24" s="53"/>
      <c r="J24" s="63"/>
      <c r="K24" s="64"/>
    </row>
    <row r="25" spans="2:11" ht="24">
      <c r="B25" s="65" t="s">
        <v>106</v>
      </c>
      <c r="C25" s="66"/>
      <c r="D25" s="67"/>
      <c r="E25" s="68"/>
      <c r="F25" s="69"/>
      <c r="G25" s="70"/>
      <c r="H25" s="71"/>
      <c r="I25" s="72"/>
      <c r="J25" s="73"/>
      <c r="K25" s="74"/>
    </row>
    <row r="26" spans="2:11" ht="24">
      <c r="B26" s="75" t="s">
        <v>107</v>
      </c>
      <c r="C26" s="76" t="s">
        <v>41</v>
      </c>
      <c r="D26" s="67"/>
      <c r="E26" s="68"/>
      <c r="F26" s="69"/>
      <c r="G26" s="70"/>
      <c r="H26" s="71"/>
      <c r="I26" s="77">
        <f>+K13/K16</f>
        <v>250000</v>
      </c>
      <c r="J26" s="78">
        <f>+I26</f>
        <v>250000</v>
      </c>
      <c r="K26" s="138">
        <f>+J26/J31</f>
        <v>0.17499999999999999</v>
      </c>
    </row>
    <row r="27" spans="2:11" ht="24">
      <c r="B27" s="56"/>
      <c r="C27" s="57"/>
      <c r="D27" s="58"/>
      <c r="E27" s="59"/>
      <c r="F27" s="60"/>
      <c r="G27" s="61"/>
      <c r="H27" s="62"/>
      <c r="I27" s="53"/>
      <c r="J27" s="63"/>
      <c r="K27" s="64"/>
    </row>
    <row r="28" spans="2:11" ht="24">
      <c r="B28" s="79" t="s">
        <v>42</v>
      </c>
      <c r="C28" s="80"/>
      <c r="D28" s="81"/>
      <c r="E28" s="82"/>
      <c r="F28" s="83"/>
      <c r="G28" s="84"/>
      <c r="H28" s="85"/>
      <c r="I28" s="86"/>
      <c r="J28" s="87"/>
      <c r="K28" s="88"/>
    </row>
    <row r="29" spans="2:11" ht="25" thickBot="1">
      <c r="B29" s="90" t="s">
        <v>43</v>
      </c>
      <c r="C29" s="91" t="s">
        <v>37</v>
      </c>
      <c r="D29" s="92">
        <v>0</v>
      </c>
      <c r="E29" s="93">
        <f>+D29/D31</f>
        <v>0</v>
      </c>
      <c r="F29" s="94"/>
      <c r="G29" s="95"/>
      <c r="H29" s="96"/>
      <c r="I29" s="97"/>
      <c r="J29" s="98">
        <f>+D29</f>
        <v>0</v>
      </c>
      <c r="K29" s="99">
        <f>+J29/J31</f>
        <v>0</v>
      </c>
    </row>
    <row r="30" spans="2:11" ht="24">
      <c r="B30" s="100"/>
      <c r="C30" s="101"/>
      <c r="D30" s="102"/>
      <c r="E30" s="103"/>
      <c r="F30" s="104"/>
      <c r="G30" s="105"/>
      <c r="H30" s="106"/>
      <c r="I30" s="107"/>
      <c r="J30" s="108"/>
      <c r="K30" s="109"/>
    </row>
    <row r="31" spans="2:11" ht="25" thickBot="1">
      <c r="B31" s="110" t="s">
        <v>44</v>
      </c>
      <c r="C31" s="111"/>
      <c r="D31" s="112">
        <f>SUM(D19:D29)</f>
        <v>1000000</v>
      </c>
      <c r="E31" s="113">
        <f>SUM(E19:E29)</f>
        <v>1</v>
      </c>
      <c r="F31" s="114"/>
      <c r="G31" s="115"/>
      <c r="H31" s="116"/>
      <c r="I31" s="111"/>
      <c r="J31" s="117">
        <f>SUM(J19:J30)</f>
        <v>1428571.4285714286</v>
      </c>
      <c r="K31" s="118">
        <f>SUM(K19:K30)</f>
        <v>1</v>
      </c>
    </row>
    <row r="35" spans="2:9" ht="31">
      <c r="B35" s="273" t="s">
        <v>110</v>
      </c>
      <c r="C35" s="120"/>
      <c r="I35" s="121"/>
    </row>
    <row r="36" spans="2:9">
      <c r="C36" s="121"/>
      <c r="I36" s="121"/>
    </row>
    <row r="37" spans="2:9">
      <c r="C37" s="121"/>
      <c r="I37" s="121"/>
    </row>
    <row r="38" spans="2:9">
      <c r="C38" s="119"/>
      <c r="I38" s="119"/>
    </row>
    <row r="39" spans="2:9">
      <c r="C39" s="122"/>
      <c r="I39" s="122"/>
    </row>
    <row r="40" spans="2:9">
      <c r="C40" s="4"/>
      <c r="I40" s="4"/>
    </row>
  </sheetData>
  <mergeCells count="24">
    <mergeCell ref="F22:G22"/>
    <mergeCell ref="F23:G23"/>
    <mergeCell ref="F8:H9"/>
    <mergeCell ref="I8:K9"/>
    <mergeCell ref="F17:G17"/>
    <mergeCell ref="F12:G12"/>
    <mergeCell ref="I12:J12"/>
    <mergeCell ref="F14:G14"/>
    <mergeCell ref="I14:J14"/>
    <mergeCell ref="F13:G13"/>
    <mergeCell ref="I13:J13"/>
    <mergeCell ref="D10:E10"/>
    <mergeCell ref="I10:K10"/>
    <mergeCell ref="D11:E11"/>
    <mergeCell ref="F11:H11"/>
    <mergeCell ref="I11:K11"/>
    <mergeCell ref="F10:G10"/>
    <mergeCell ref="I5:K5"/>
    <mergeCell ref="I6:K6"/>
    <mergeCell ref="I7:K7"/>
    <mergeCell ref="F16:G16"/>
    <mergeCell ref="I16:J16"/>
    <mergeCell ref="F15:G15"/>
    <mergeCell ref="I15:J1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zoomScale="165" zoomScaleNormal="165" zoomScalePageLayoutView="165" workbookViewId="0">
      <selection activeCell="B15" sqref="B15"/>
    </sheetView>
  </sheetViews>
  <sheetFormatPr baseColWidth="10" defaultRowHeight="16"/>
  <cols>
    <col min="1" max="1" width="6.5" customWidth="1"/>
    <col min="2" max="2" width="37.33203125" customWidth="1"/>
    <col min="3" max="3" width="22.5" customWidth="1"/>
    <col min="4" max="4" width="13.33203125" customWidth="1"/>
    <col min="5" max="5" width="13.1640625" bestFit="1" customWidth="1"/>
    <col min="6" max="6" width="13.6640625" bestFit="1" customWidth="1"/>
    <col min="7" max="7" width="12.5" bestFit="1" customWidth="1"/>
    <col min="8" max="8" width="14.1640625" bestFit="1" customWidth="1"/>
  </cols>
  <sheetData>
    <row r="1" spans="2:4" ht="21">
      <c r="B1" s="187" t="s">
        <v>80</v>
      </c>
    </row>
    <row r="2" spans="2:4">
      <c r="B2" s="188" t="s">
        <v>90</v>
      </c>
    </row>
    <row r="3" spans="2:4" ht="17" thickBot="1">
      <c r="B3" s="188"/>
    </row>
    <row r="4" spans="2:4" ht="17" thickBot="1">
      <c r="B4" s="261" t="s">
        <v>62</v>
      </c>
      <c r="C4" s="262"/>
    </row>
    <row r="5" spans="2:4">
      <c r="B5" s="150" t="s">
        <v>50</v>
      </c>
      <c r="C5" s="151">
        <f>+'Full Cap Table Convert Debt'!H13</f>
        <v>1000000</v>
      </c>
      <c r="D5" s="9" t="s">
        <v>84</v>
      </c>
    </row>
    <row r="6" spans="2:4">
      <c r="B6" s="152" t="s">
        <v>25</v>
      </c>
      <c r="C6" s="153">
        <f>+'Full Cap Table Convert Debt'!H14</f>
        <v>0.1</v>
      </c>
      <c r="D6" s="9" t="s">
        <v>17</v>
      </c>
    </row>
    <row r="7" spans="2:4">
      <c r="B7" s="152" t="s">
        <v>67</v>
      </c>
      <c r="C7" s="153">
        <f>+'Full Cap Table Convert Debt'!H15</f>
        <v>0.3</v>
      </c>
      <c r="D7" s="9" t="s">
        <v>100</v>
      </c>
    </row>
    <row r="8" spans="2:4" ht="17" thickBot="1">
      <c r="B8" s="154" t="s">
        <v>45</v>
      </c>
      <c r="C8" s="155">
        <f>+'Full Cap Table Convert Debt'!H12</f>
        <v>0</v>
      </c>
      <c r="D8" s="9" t="s">
        <v>83</v>
      </c>
    </row>
    <row r="9" spans="2:4" ht="17" thickBot="1">
      <c r="D9" s="9"/>
    </row>
    <row r="10" spans="2:4" ht="17" thickBot="1">
      <c r="B10" s="263" t="s">
        <v>48</v>
      </c>
      <c r="C10" s="264"/>
      <c r="D10" s="9"/>
    </row>
    <row r="11" spans="2:4">
      <c r="B11" s="150" t="s">
        <v>78</v>
      </c>
      <c r="C11" s="151">
        <f>+'Full Cap Table Convert Debt'!K13</f>
        <v>2000000</v>
      </c>
      <c r="D11" s="9" t="s">
        <v>86</v>
      </c>
    </row>
    <row r="12" spans="2:4">
      <c r="B12" s="152" t="s">
        <v>68</v>
      </c>
      <c r="C12" s="156">
        <f>+'Full Cap Table Convert Debt'!K12</f>
        <v>8000000</v>
      </c>
      <c r="D12" s="9" t="s">
        <v>89</v>
      </c>
    </row>
    <row r="13" spans="2:4">
      <c r="B13" s="152" t="s">
        <v>24</v>
      </c>
      <c r="C13" s="157">
        <f>+C12+C11</f>
        <v>10000000</v>
      </c>
      <c r="D13" s="9" t="s">
        <v>72</v>
      </c>
    </row>
    <row r="14" spans="2:4">
      <c r="B14" s="152" t="s">
        <v>69</v>
      </c>
      <c r="C14" s="158">
        <f>+C11/C13</f>
        <v>0.2</v>
      </c>
      <c r="D14" s="9" t="s">
        <v>87</v>
      </c>
    </row>
    <row r="15" spans="2:4" ht="17" thickBot="1">
      <c r="B15" s="154" t="s">
        <v>70</v>
      </c>
      <c r="C15" s="159">
        <f>+'Full Cap Table Convert Debt'!D31</f>
        <v>1000000</v>
      </c>
      <c r="D15" s="9" t="s">
        <v>88</v>
      </c>
    </row>
    <row r="17" spans="2:8" ht="19">
      <c r="B17" s="265" t="s">
        <v>101</v>
      </c>
      <c r="C17" s="265"/>
      <c r="D17" s="265"/>
      <c r="E17" s="265"/>
      <c r="F17" s="265"/>
      <c r="G17" s="265"/>
      <c r="H17" s="265"/>
    </row>
    <row r="18" spans="2:8" ht="51">
      <c r="B18" s="177" t="s">
        <v>95</v>
      </c>
      <c r="C18" s="185" t="s">
        <v>12</v>
      </c>
      <c r="D18" s="185" t="s">
        <v>73</v>
      </c>
      <c r="E18" s="185" t="s">
        <v>10</v>
      </c>
      <c r="F18" s="185" t="s">
        <v>11</v>
      </c>
      <c r="G18" s="185" t="s">
        <v>64</v>
      </c>
      <c r="H18" s="185" t="s">
        <v>16</v>
      </c>
    </row>
    <row r="19" spans="2:8">
      <c r="B19" s="166" t="s">
        <v>65</v>
      </c>
      <c r="C19" s="142">
        <f>+C12/C15</f>
        <v>8</v>
      </c>
      <c r="D19" s="143">
        <v>0.3</v>
      </c>
      <c r="E19" s="144">
        <f>+D19*C19</f>
        <v>2.4</v>
      </c>
      <c r="F19" s="144">
        <f>+C19-E19</f>
        <v>5.6</v>
      </c>
      <c r="G19" s="145">
        <f>+C5</f>
        <v>1000000</v>
      </c>
      <c r="H19" s="200">
        <f>+G19/F19</f>
        <v>178571.42857142858</v>
      </c>
    </row>
    <row r="20" spans="2:8">
      <c r="B20" s="166" t="s">
        <v>66</v>
      </c>
      <c r="C20" s="201">
        <f>IFERROR(C8/C15,0)</f>
        <v>0</v>
      </c>
      <c r="D20" s="143">
        <v>0</v>
      </c>
      <c r="E20" s="147">
        <f>IFERROR(D20*C20,0)</f>
        <v>0</v>
      </c>
      <c r="F20" s="147">
        <f>IFERROR(C20-E20,0)</f>
        <v>0</v>
      </c>
      <c r="G20" s="145">
        <f>+C5</f>
        <v>1000000</v>
      </c>
      <c r="H20" s="200" t="str">
        <f>IFERROR(G20/F20,"N/A")</f>
        <v>N/A</v>
      </c>
    </row>
    <row r="21" spans="2:8" ht="34">
      <c r="B21" s="87"/>
      <c r="C21" s="142"/>
      <c r="D21" s="143"/>
      <c r="E21" s="196" t="s">
        <v>71</v>
      </c>
      <c r="F21" s="197">
        <f>IF(F20&lt;&gt;0,MIN(F19:F20),F19)</f>
        <v>5.6</v>
      </c>
      <c r="G21" s="87"/>
      <c r="H21" s="202">
        <f>+MAX(H19:H20)</f>
        <v>178571.42857142858</v>
      </c>
    </row>
    <row r="22" spans="2:8">
      <c r="B22" s="1"/>
    </row>
    <row r="23" spans="2:8" ht="19">
      <c r="B23" s="266" t="s">
        <v>74</v>
      </c>
      <c r="C23" s="266"/>
      <c r="D23" s="266"/>
      <c r="E23" s="266"/>
      <c r="F23" s="266"/>
      <c r="G23" s="266"/>
    </row>
    <row r="24" spans="2:8">
      <c r="B24" s="171" t="s">
        <v>1</v>
      </c>
      <c r="C24" s="171" t="s">
        <v>79</v>
      </c>
      <c r="D24" s="171" t="s">
        <v>54</v>
      </c>
      <c r="E24" s="171" t="s">
        <v>33</v>
      </c>
      <c r="F24" s="171" t="s">
        <v>53</v>
      </c>
      <c r="G24" s="171" t="s">
        <v>8</v>
      </c>
    </row>
    <row r="25" spans="2:8">
      <c r="B25" s="166" t="s">
        <v>2</v>
      </c>
      <c r="C25" s="166" t="s">
        <v>6</v>
      </c>
      <c r="D25" s="199">
        <f>+C12</f>
        <v>8000000</v>
      </c>
      <c r="E25" s="173" t="s">
        <v>63</v>
      </c>
      <c r="F25" s="149">
        <f>+C15</f>
        <v>1000000</v>
      </c>
      <c r="G25" s="175">
        <f>+F25/F28</f>
        <v>0.7</v>
      </c>
    </row>
    <row r="26" spans="2:8">
      <c r="B26" s="166" t="s">
        <v>3</v>
      </c>
      <c r="C26" s="166" t="s">
        <v>52</v>
      </c>
      <c r="D26" s="199">
        <f>+C5</f>
        <v>1000000</v>
      </c>
      <c r="E26" s="144">
        <f>+F21</f>
        <v>5.6</v>
      </c>
      <c r="F26" s="146">
        <f>+MAX(H19:H20)</f>
        <v>178571.42857142858</v>
      </c>
      <c r="G26" s="175">
        <f>+F26/F28</f>
        <v>0.125</v>
      </c>
    </row>
    <row r="27" spans="2:8" ht="17" thickBot="1">
      <c r="B27" s="166" t="s">
        <v>4</v>
      </c>
      <c r="C27" s="166" t="s">
        <v>5</v>
      </c>
      <c r="D27" s="209">
        <f>+C11</f>
        <v>2000000</v>
      </c>
      <c r="E27" s="144">
        <f>+F19</f>
        <v>5.6</v>
      </c>
      <c r="F27" s="207">
        <f>+C11/C19</f>
        <v>250000</v>
      </c>
      <c r="G27" s="213">
        <f>+F27/F28</f>
        <v>0.17499999999999999</v>
      </c>
    </row>
    <row r="28" spans="2:8">
      <c r="B28" s="166"/>
      <c r="C28" s="166" t="s">
        <v>18</v>
      </c>
      <c r="D28" s="208">
        <f>+D27+D25</f>
        <v>10000000</v>
      </c>
      <c r="E28" s="166" t="s">
        <v>105</v>
      </c>
      <c r="F28" s="206">
        <f>SUM(F25:F27)</f>
        <v>1428571.4285714286</v>
      </c>
      <c r="G28" s="210">
        <f>SUM(G25:G27)</f>
        <v>1</v>
      </c>
    </row>
    <row r="30" spans="2:8">
      <c r="B30" s="141"/>
    </row>
    <row r="34" spans="3:6">
      <c r="C34" s="8"/>
      <c r="D34" s="7"/>
      <c r="E34" s="2"/>
      <c r="F34" s="2"/>
    </row>
  </sheetData>
  <mergeCells count="4">
    <mergeCell ref="B4:C4"/>
    <mergeCell ref="B10:C10"/>
    <mergeCell ref="B17:H17"/>
    <mergeCell ref="B23:G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4"/>
  <sheetViews>
    <sheetView topLeftCell="A2" zoomScale="165" zoomScaleNormal="165" zoomScalePageLayoutView="165" workbookViewId="0">
      <selection activeCell="C6" sqref="C6"/>
    </sheetView>
  </sheetViews>
  <sheetFormatPr baseColWidth="10" defaultRowHeight="16"/>
  <cols>
    <col min="2" max="2" width="32.6640625" customWidth="1"/>
    <col min="3" max="3" width="22.33203125" customWidth="1"/>
    <col min="4" max="4" width="13.33203125" customWidth="1"/>
    <col min="5" max="5" width="13.1640625" bestFit="1" customWidth="1"/>
    <col min="6" max="6" width="13.6640625" bestFit="1" customWidth="1"/>
    <col min="7" max="7" width="12.5" bestFit="1" customWidth="1"/>
    <col min="8" max="8" width="14.1640625" bestFit="1" customWidth="1"/>
  </cols>
  <sheetData>
    <row r="1" spans="2:4" ht="21">
      <c r="B1" s="170" t="s">
        <v>81</v>
      </c>
    </row>
    <row r="2" spans="2:4">
      <c r="B2" s="188" t="s">
        <v>97</v>
      </c>
    </row>
    <row r="3" spans="2:4">
      <c r="B3" s="188" t="s">
        <v>91</v>
      </c>
    </row>
    <row r="5" spans="2:4">
      <c r="B5" s="268" t="s">
        <v>62</v>
      </c>
      <c r="C5" s="268"/>
    </row>
    <row r="6" spans="2:4">
      <c r="B6" s="160" t="s">
        <v>50</v>
      </c>
      <c r="C6" s="161">
        <f>+'Full Cap Table Convert Debt'!H13</f>
        <v>1000000</v>
      </c>
      <c r="D6" s="9" t="s">
        <v>84</v>
      </c>
    </row>
    <row r="7" spans="2:4">
      <c r="B7" s="160" t="s">
        <v>25</v>
      </c>
      <c r="C7" s="162">
        <f>+'Full Cap Table Convert Debt'!H14</f>
        <v>0.1</v>
      </c>
      <c r="D7" s="9" t="s">
        <v>17</v>
      </c>
    </row>
    <row r="8" spans="2:4">
      <c r="B8" s="160" t="s">
        <v>67</v>
      </c>
      <c r="C8" s="162">
        <f>+'Full Cap Table Convert Debt'!H15</f>
        <v>0.3</v>
      </c>
      <c r="D8" s="9" t="s">
        <v>85</v>
      </c>
    </row>
    <row r="9" spans="2:4">
      <c r="B9" s="160" t="s">
        <v>45</v>
      </c>
      <c r="C9" s="163">
        <f>+'Full Cap Table Convert Debt'!H12</f>
        <v>0</v>
      </c>
      <c r="D9" s="9" t="s">
        <v>83</v>
      </c>
    </row>
    <row r="10" spans="2:4">
      <c r="D10" s="9"/>
    </row>
    <row r="11" spans="2:4">
      <c r="B11" s="268" t="s">
        <v>48</v>
      </c>
      <c r="C11" s="268"/>
      <c r="D11" s="9"/>
    </row>
    <row r="12" spans="2:4">
      <c r="B12" s="160" t="s">
        <v>78</v>
      </c>
      <c r="C12" s="161">
        <f>+'Full Cap Table Convert Debt'!K13</f>
        <v>2000000</v>
      </c>
      <c r="D12" s="9" t="s">
        <v>86</v>
      </c>
    </row>
    <row r="13" spans="2:4">
      <c r="B13" s="160" t="s">
        <v>68</v>
      </c>
      <c r="C13" s="161">
        <f>+'Full Cap Table Convert Debt'!K12</f>
        <v>8000000</v>
      </c>
      <c r="D13" s="9" t="s">
        <v>89</v>
      </c>
    </row>
    <row r="14" spans="2:4">
      <c r="B14" s="160" t="s">
        <v>24</v>
      </c>
      <c r="C14" s="163">
        <f>+C13+C12</f>
        <v>10000000</v>
      </c>
      <c r="D14" s="214" t="s">
        <v>72</v>
      </c>
    </row>
    <row r="15" spans="2:4">
      <c r="B15" s="160" t="s">
        <v>69</v>
      </c>
      <c r="C15" s="164">
        <f>+C12/C14</f>
        <v>0.2</v>
      </c>
      <c r="D15" s="9" t="s">
        <v>87</v>
      </c>
    </row>
    <row r="16" spans="2:4">
      <c r="B16" s="160" t="s">
        <v>77</v>
      </c>
      <c r="C16" s="165">
        <f>+'Full Cap Table Convert Debt'!D31</f>
        <v>1000000</v>
      </c>
      <c r="D16" s="9" t="s">
        <v>88</v>
      </c>
    </row>
    <row r="18" spans="2:9" ht="19">
      <c r="B18" s="270" t="s">
        <v>109</v>
      </c>
      <c r="C18" s="266"/>
      <c r="D18" s="266"/>
      <c r="E18" s="266"/>
      <c r="F18" s="266"/>
      <c r="G18" s="266"/>
      <c r="H18" s="266"/>
    </row>
    <row r="19" spans="2:9" ht="51">
      <c r="B19" s="177" t="s">
        <v>0</v>
      </c>
      <c r="C19" s="178" t="s">
        <v>12</v>
      </c>
      <c r="D19" s="178" t="s">
        <v>73</v>
      </c>
      <c r="E19" s="178" t="s">
        <v>10</v>
      </c>
      <c r="F19" s="178" t="s">
        <v>11</v>
      </c>
      <c r="G19" s="178" t="s">
        <v>64</v>
      </c>
      <c r="H19" s="178" t="s">
        <v>57</v>
      </c>
    </row>
    <row r="20" spans="2:9">
      <c r="B20" s="166" t="s">
        <v>104</v>
      </c>
      <c r="C20" s="189">
        <v>6.57</v>
      </c>
      <c r="D20" s="143">
        <f>+C8</f>
        <v>0.3</v>
      </c>
      <c r="E20" s="167">
        <f>+D20*C20</f>
        <v>1.9710000000000001</v>
      </c>
      <c r="F20" s="144">
        <f>+C20-E20</f>
        <v>4.5990000000000002</v>
      </c>
      <c r="G20" s="145">
        <f>+C6</f>
        <v>1000000</v>
      </c>
      <c r="H20" s="146">
        <f>+G20/F20</f>
        <v>217438.57360295716</v>
      </c>
    </row>
    <row r="21" spans="2:9">
      <c r="B21" s="166" t="s">
        <v>75</v>
      </c>
      <c r="C21" s="168">
        <f>IFERROR(C9/C16,"N/A")</f>
        <v>0</v>
      </c>
      <c r="D21" s="169">
        <v>0</v>
      </c>
      <c r="E21" s="144">
        <f>IFERROR(D21*C21,0)</f>
        <v>0</v>
      </c>
      <c r="F21" s="147">
        <f>IFERROR(C21-E21,0)</f>
        <v>0</v>
      </c>
      <c r="G21" s="145">
        <f>+C6</f>
        <v>1000000</v>
      </c>
      <c r="H21" s="148" t="str">
        <f>IFERROR(G21/F21,"N/A")</f>
        <v>N/A</v>
      </c>
    </row>
    <row r="22" spans="2:9" ht="34">
      <c r="B22" s="269" t="s">
        <v>93</v>
      </c>
      <c r="C22" s="269"/>
      <c r="D22" s="87"/>
      <c r="E22" s="196" t="s">
        <v>71</v>
      </c>
      <c r="F22" s="203">
        <f>IF(F21&lt;&gt;0,MIN(F20:F21),F20)</f>
        <v>4.5990000000000002</v>
      </c>
      <c r="G22" s="87"/>
      <c r="H22" s="149">
        <f>+MAX(H20:H21)</f>
        <v>217438.57360295716</v>
      </c>
    </row>
    <row r="24" spans="2:9" ht="19">
      <c r="B24" s="266" t="s">
        <v>74</v>
      </c>
      <c r="C24" s="266"/>
      <c r="D24" s="266"/>
      <c r="E24" s="266"/>
      <c r="F24" s="266"/>
      <c r="G24" s="266"/>
      <c r="H24" s="266"/>
    </row>
    <row r="25" spans="2:9">
      <c r="B25" s="171" t="s">
        <v>1</v>
      </c>
      <c r="C25" s="171" t="s">
        <v>79</v>
      </c>
      <c r="D25" s="171" t="s">
        <v>54</v>
      </c>
      <c r="E25" s="171" t="s">
        <v>33</v>
      </c>
      <c r="F25" s="171" t="s">
        <v>53</v>
      </c>
      <c r="G25" s="171" t="s">
        <v>8</v>
      </c>
      <c r="H25" s="171"/>
    </row>
    <row r="26" spans="2:9">
      <c r="B26" s="267" t="s">
        <v>2</v>
      </c>
      <c r="C26" s="166" t="s">
        <v>6</v>
      </c>
      <c r="D26" s="172">
        <f>+C13</f>
        <v>8000000</v>
      </c>
      <c r="E26" s="173" t="s">
        <v>63</v>
      </c>
      <c r="F26" s="173" t="s">
        <v>63</v>
      </c>
      <c r="G26" s="173" t="s">
        <v>63</v>
      </c>
      <c r="H26" s="87"/>
    </row>
    <row r="27" spans="2:9">
      <c r="B27" s="267"/>
      <c r="C27" s="166" t="s">
        <v>7</v>
      </c>
      <c r="D27" s="172">
        <f>+D30*G27</f>
        <v>6570938.705529362</v>
      </c>
      <c r="E27" s="148" t="s">
        <v>63</v>
      </c>
      <c r="F27" s="146">
        <f>+C16</f>
        <v>1000000</v>
      </c>
      <c r="G27" s="174">
        <f>100%-G28-G29</f>
        <v>0.65709387055293622</v>
      </c>
      <c r="H27" s="87"/>
    </row>
    <row r="28" spans="2:9">
      <c r="B28" s="166" t="s">
        <v>3</v>
      </c>
      <c r="C28" s="166" t="s">
        <v>52</v>
      </c>
      <c r="D28" s="172">
        <f>+C6</f>
        <v>1000000</v>
      </c>
      <c r="E28" s="144">
        <f>+F22</f>
        <v>4.5990000000000002</v>
      </c>
      <c r="F28" s="146">
        <f>+MAX(H20:H21)</f>
        <v>217438.57360295716</v>
      </c>
      <c r="G28" s="175">
        <f>+F28/F30</f>
        <v>0.1428775539362766</v>
      </c>
      <c r="H28" s="87"/>
    </row>
    <row r="29" spans="2:9" ht="17" thickBot="1">
      <c r="B29" s="166" t="s">
        <v>76</v>
      </c>
      <c r="C29" s="166" t="s">
        <v>5</v>
      </c>
      <c r="D29" s="191">
        <f>+C12</f>
        <v>2000000</v>
      </c>
      <c r="E29" s="144">
        <f>+C20</f>
        <v>6.57</v>
      </c>
      <c r="F29" s="207">
        <f>+D29/E29</f>
        <v>304414.00304414</v>
      </c>
      <c r="G29" s="212">
        <f>+F29/F30</f>
        <v>0.20002857551078723</v>
      </c>
      <c r="H29" s="176">
        <f>+C15</f>
        <v>0.2</v>
      </c>
      <c r="I29" t="s">
        <v>92</v>
      </c>
    </row>
    <row r="30" spans="2:9">
      <c r="B30" s="87"/>
      <c r="C30" s="166" t="s">
        <v>18</v>
      </c>
      <c r="D30" s="190">
        <f>+D29+D26</f>
        <v>10000000</v>
      </c>
      <c r="E30" s="166" t="s">
        <v>105</v>
      </c>
      <c r="F30" s="206">
        <f>SUM(F27:F29)</f>
        <v>1521852.5766470972</v>
      </c>
      <c r="G30" s="210">
        <f>SUM(G27:G29)</f>
        <v>1</v>
      </c>
      <c r="H30" s="87"/>
    </row>
    <row r="31" spans="2:9">
      <c r="B31" s="6"/>
    </row>
    <row r="32" spans="2:9">
      <c r="F32" s="6" t="s">
        <v>96</v>
      </c>
      <c r="G32" s="122">
        <f>+F29/F30</f>
        <v>0.20002857551078723</v>
      </c>
    </row>
    <row r="34" spans="2:2">
      <c r="B34" s="6"/>
    </row>
  </sheetData>
  <mergeCells count="6">
    <mergeCell ref="B26:B27"/>
    <mergeCell ref="B5:C5"/>
    <mergeCell ref="B11:C11"/>
    <mergeCell ref="B22:C22"/>
    <mergeCell ref="B18:H18"/>
    <mergeCell ref="B24:H2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5"/>
  <sheetViews>
    <sheetView zoomScale="165" zoomScaleNormal="165" zoomScalePageLayoutView="165" workbookViewId="0">
      <selection activeCell="B18" sqref="B18:H18"/>
    </sheetView>
  </sheetViews>
  <sheetFormatPr baseColWidth="10" defaultRowHeight="16"/>
  <cols>
    <col min="2" max="2" width="30.83203125" customWidth="1"/>
    <col min="3" max="3" width="23.6640625" customWidth="1"/>
    <col min="4" max="4" width="13.33203125" customWidth="1"/>
    <col min="5" max="5" width="13.1640625" bestFit="1" customWidth="1"/>
    <col min="6" max="6" width="13.6640625" bestFit="1" customWidth="1"/>
    <col min="7" max="7" width="12.5" bestFit="1" customWidth="1"/>
    <col min="8" max="8" width="14.1640625" bestFit="1" customWidth="1"/>
  </cols>
  <sheetData>
    <row r="1" spans="2:4" ht="21">
      <c r="B1" s="170" t="s">
        <v>82</v>
      </c>
    </row>
    <row r="2" spans="2:4">
      <c r="B2" s="188" t="s">
        <v>97</v>
      </c>
    </row>
    <row r="3" spans="2:4">
      <c r="B3" s="188" t="s">
        <v>91</v>
      </c>
    </row>
    <row r="5" spans="2:4">
      <c r="B5" s="268" t="s">
        <v>62</v>
      </c>
      <c r="C5" s="268"/>
    </row>
    <row r="6" spans="2:4">
      <c r="B6" s="160" t="s">
        <v>50</v>
      </c>
      <c r="C6" s="161">
        <f>+'Full Cap Table Convert Debt'!H13</f>
        <v>1000000</v>
      </c>
      <c r="D6" s="9" t="s">
        <v>102</v>
      </c>
    </row>
    <row r="7" spans="2:4">
      <c r="B7" s="160" t="s">
        <v>25</v>
      </c>
      <c r="C7" s="162">
        <f>+'Full Cap Table Convert Debt'!H14</f>
        <v>0.1</v>
      </c>
      <c r="D7" s="9" t="s">
        <v>17</v>
      </c>
    </row>
    <row r="8" spans="2:4">
      <c r="B8" s="160" t="s">
        <v>67</v>
      </c>
      <c r="C8" s="162">
        <f>+'Full Cap Table Convert Debt'!H15</f>
        <v>0.3</v>
      </c>
      <c r="D8" s="9" t="s">
        <v>103</v>
      </c>
    </row>
    <row r="9" spans="2:4">
      <c r="B9" s="160" t="s">
        <v>45</v>
      </c>
      <c r="C9" s="179">
        <f>+'Full Cap Table Convert Debt'!H12</f>
        <v>0</v>
      </c>
      <c r="D9" s="9" t="s">
        <v>83</v>
      </c>
    </row>
    <row r="10" spans="2:4">
      <c r="D10" s="9"/>
    </row>
    <row r="11" spans="2:4">
      <c r="B11" s="268" t="s">
        <v>48</v>
      </c>
      <c r="C11" s="268"/>
      <c r="D11" s="9"/>
    </row>
    <row r="12" spans="2:4">
      <c r="B12" s="160" t="s">
        <v>78</v>
      </c>
      <c r="C12" s="161">
        <f>+'Full Cap Table Convert Debt'!K13</f>
        <v>2000000</v>
      </c>
      <c r="D12" s="9" t="s">
        <v>86</v>
      </c>
    </row>
    <row r="13" spans="2:4">
      <c r="B13" s="160" t="s">
        <v>68</v>
      </c>
      <c r="C13" s="161">
        <f>+'Full Cap Table Convert Debt'!K12</f>
        <v>8000000</v>
      </c>
      <c r="D13" s="9" t="s">
        <v>89</v>
      </c>
    </row>
    <row r="14" spans="2:4">
      <c r="B14" s="160" t="s">
        <v>24</v>
      </c>
      <c r="C14" s="163">
        <f>+C13+C12</f>
        <v>10000000</v>
      </c>
      <c r="D14" s="9" t="s">
        <v>72</v>
      </c>
    </row>
    <row r="15" spans="2:4">
      <c r="B15" s="160" t="s">
        <v>69</v>
      </c>
      <c r="C15" s="164">
        <f>+C12/C14</f>
        <v>0.2</v>
      </c>
      <c r="D15" s="9" t="s">
        <v>87</v>
      </c>
    </row>
    <row r="16" spans="2:4">
      <c r="B16" s="160" t="s">
        <v>77</v>
      </c>
      <c r="C16" s="180">
        <f>+'Full Cap Table Convert Debt'!D31</f>
        <v>1000000</v>
      </c>
      <c r="D16" s="9" t="s">
        <v>88</v>
      </c>
    </row>
    <row r="17" spans="2:9">
      <c r="B17" s="6"/>
      <c r="C17" s="194"/>
      <c r="D17" s="9"/>
    </row>
    <row r="18" spans="2:9" ht="19">
      <c r="B18" s="270" t="s">
        <v>109</v>
      </c>
      <c r="C18" s="266"/>
      <c r="D18" s="266"/>
      <c r="E18" s="266"/>
      <c r="F18" s="266"/>
      <c r="G18" s="266"/>
      <c r="H18" s="266"/>
    </row>
    <row r="19" spans="2:9" ht="34">
      <c r="B19" s="87"/>
      <c r="C19" s="177" t="s">
        <v>12</v>
      </c>
      <c r="D19" s="177" t="s">
        <v>13</v>
      </c>
      <c r="E19" s="177" t="s">
        <v>14</v>
      </c>
      <c r="F19" s="185" t="s">
        <v>15</v>
      </c>
      <c r="G19" s="185" t="s">
        <v>56</v>
      </c>
      <c r="H19" s="185" t="s">
        <v>57</v>
      </c>
    </row>
    <row r="20" spans="2:9">
      <c r="B20" s="166" t="s">
        <v>104</v>
      </c>
      <c r="C20" s="193">
        <v>7.57</v>
      </c>
      <c r="D20" s="182">
        <f>+C8</f>
        <v>0.3</v>
      </c>
      <c r="E20" s="144">
        <f>+D20*C20</f>
        <v>2.2709999999999999</v>
      </c>
      <c r="F20" s="144">
        <f>+C20-E20</f>
        <v>5.2990000000000004</v>
      </c>
      <c r="G20" s="145">
        <f>+C6</f>
        <v>1000000</v>
      </c>
      <c r="H20" s="183">
        <f>+G20/F20</f>
        <v>188714.85185884128</v>
      </c>
    </row>
    <row r="21" spans="2:9">
      <c r="B21" s="166" t="s">
        <v>75</v>
      </c>
      <c r="C21" s="142">
        <f>IFERROR(C9/C16,0)</f>
        <v>0</v>
      </c>
      <c r="D21" s="182">
        <v>0</v>
      </c>
      <c r="E21" s="144">
        <f>+D21*C21</f>
        <v>0</v>
      </c>
      <c r="F21" s="144">
        <f>+C21-E21</f>
        <v>0</v>
      </c>
      <c r="G21" s="145">
        <f>+C6</f>
        <v>1000000</v>
      </c>
      <c r="H21" s="183">
        <f>IFERROR(G21/F21,0)</f>
        <v>0</v>
      </c>
    </row>
    <row r="22" spans="2:9" ht="34">
      <c r="B22" s="271" t="s">
        <v>93</v>
      </c>
      <c r="C22" s="272"/>
      <c r="D22" s="182"/>
      <c r="E22" s="196" t="s">
        <v>71</v>
      </c>
      <c r="F22" s="197">
        <f>IF(F21&lt;&gt;0,MIN(F20:F21),F20)</f>
        <v>5.2990000000000004</v>
      </c>
      <c r="G22" s="87"/>
      <c r="H22" s="184">
        <f>+MAX(H20:H21)</f>
        <v>188714.85185884128</v>
      </c>
    </row>
    <row r="23" spans="2:9">
      <c r="B23" s="6"/>
      <c r="C23" s="194"/>
      <c r="D23" s="9"/>
    </row>
    <row r="25" spans="2:9">
      <c r="B25" s="186" t="s">
        <v>1</v>
      </c>
      <c r="C25" s="171" t="s">
        <v>79</v>
      </c>
      <c r="D25" s="171" t="s">
        <v>54</v>
      </c>
      <c r="E25" s="171" t="s">
        <v>33</v>
      </c>
      <c r="F25" s="171" t="s">
        <v>53</v>
      </c>
      <c r="G25" s="171" t="s">
        <v>8</v>
      </c>
      <c r="H25" s="87"/>
    </row>
    <row r="26" spans="2:9">
      <c r="B26" s="166" t="s">
        <v>2</v>
      </c>
      <c r="C26" s="166" t="s">
        <v>6</v>
      </c>
      <c r="D26" s="172">
        <f>+C13</f>
        <v>8000000</v>
      </c>
      <c r="E26" s="173" t="s">
        <v>63</v>
      </c>
      <c r="F26" s="146">
        <v>1000000</v>
      </c>
      <c r="G26" s="175">
        <f>+F26/F29</f>
        <v>0.68827120405247444</v>
      </c>
      <c r="H26" s="144"/>
    </row>
    <row r="27" spans="2:9">
      <c r="B27" s="166" t="s">
        <v>55</v>
      </c>
      <c r="C27" s="166" t="s">
        <v>52</v>
      </c>
      <c r="D27" s="172">
        <f>+C6</f>
        <v>1000000</v>
      </c>
      <c r="E27" s="144">
        <f>+F22</f>
        <v>5.2990000000000004</v>
      </c>
      <c r="F27" s="146">
        <f>+MAX(H20:H21)</f>
        <v>188714.85185884128</v>
      </c>
      <c r="G27" s="175">
        <f>+F27/F29</f>
        <v>0.12988699831146902</v>
      </c>
      <c r="H27" s="87"/>
    </row>
    <row r="28" spans="2:9" ht="17" thickBot="1">
      <c r="B28" s="166" t="s">
        <v>98</v>
      </c>
      <c r="C28" s="166" t="s">
        <v>5</v>
      </c>
      <c r="D28" s="191">
        <f>+C12</f>
        <v>2000000</v>
      </c>
      <c r="E28" s="181">
        <f>+C20</f>
        <v>7.57</v>
      </c>
      <c r="F28" s="207">
        <f>+D28/E28</f>
        <v>264200.79260237777</v>
      </c>
      <c r="G28" s="211">
        <f>+F28/F29</f>
        <v>0.18184179763605662</v>
      </c>
      <c r="H28" s="192">
        <f>+D28/D29</f>
        <v>0.18181818181818182</v>
      </c>
      <c r="I28" t="s">
        <v>9</v>
      </c>
    </row>
    <row r="29" spans="2:9">
      <c r="B29" s="87"/>
      <c r="C29" s="204" t="s">
        <v>18</v>
      </c>
      <c r="D29" s="205">
        <f>SUM(D26:D28)</f>
        <v>11000000</v>
      </c>
      <c r="E29" s="166" t="s">
        <v>105</v>
      </c>
      <c r="F29" s="206">
        <f>SUM(F26:F28)</f>
        <v>1452915.644461219</v>
      </c>
      <c r="G29" s="210">
        <f>SUM(G26:G28)</f>
        <v>1</v>
      </c>
      <c r="H29" s="87"/>
    </row>
    <row r="30" spans="2:9" ht="26" customHeight="1">
      <c r="B30" s="87"/>
      <c r="C30" s="271" t="s">
        <v>94</v>
      </c>
      <c r="D30" s="272"/>
      <c r="E30" s="195"/>
      <c r="F30" s="198"/>
      <c r="G30" s="198"/>
      <c r="H30" s="89"/>
    </row>
    <row r="35" spans="3:6">
      <c r="C35" s="5"/>
      <c r="D35" s="3"/>
      <c r="E35" s="2"/>
      <c r="F35" s="2"/>
    </row>
  </sheetData>
  <mergeCells count="5">
    <mergeCell ref="B5:C5"/>
    <mergeCell ref="B11:C11"/>
    <mergeCell ref="B22:C22"/>
    <mergeCell ref="C30:D30"/>
    <mergeCell ref="B18:H1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 Cap Table Convert Debt</vt:lpstr>
      <vt:lpstr>A. Fixed Pre-Money method</vt:lpstr>
      <vt:lpstr>B. Percentage Ownership Method</vt:lpstr>
      <vt:lpstr>C. Dollars Invested Method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Poland</dc:creator>
  <cp:lastModifiedBy>Stephen Poland</cp:lastModifiedBy>
  <dcterms:created xsi:type="dcterms:W3CDTF">2020-11-24T15:32:28Z</dcterms:created>
  <dcterms:modified xsi:type="dcterms:W3CDTF">2025-08-12T19:36:04Z</dcterms:modified>
</cp:coreProperties>
</file>